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ntenance_Bill_Template" sheetId="1" state="visible" r:id="rId1"/>
    <sheet xmlns:r="http://schemas.openxmlformats.org/officeDocument/2006/relationships" name="Billing_Settings_Rates" sheetId="2" state="visible" r:id="rId2"/>
    <sheet xmlns:r="http://schemas.openxmlformats.org/officeDocument/2006/relationships" name="Flat_Billing_Register" sheetId="3" state="visible" r:id="rId3"/>
    <sheet xmlns:r="http://schemas.openxmlformats.org/officeDocument/2006/relationships" name="MCS_ByeLaws_Referen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.00"/>
    <numFmt numFmtId="165" formatCode="0.0%"/>
  </numFmts>
  <fonts count="1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475569"/>
      <sz val="10"/>
    </font>
    <font>
      <name val="Calibri"/>
      <b val="1"/>
      <color rgb="001E3A8A"/>
      <sz val="12"/>
    </font>
    <font>
      <name val="Calibri"/>
      <b val="1"/>
      <color rgb="00FFFFFF"/>
      <sz val="11"/>
    </font>
    <font>
      <name val="Calibri"/>
      <b val="1"/>
      <color rgb="000F172A"/>
      <sz val="11"/>
    </font>
    <font>
      <name val="Calibri"/>
      <color rgb="000F172A"/>
      <sz val="11"/>
    </font>
    <font>
      <name val="Calibri"/>
      <b val="1"/>
      <color rgb="00065F46"/>
      <sz val="11"/>
    </font>
    <font>
      <name val="Calibri"/>
      <b val="1"/>
      <color rgb="00991B1B"/>
      <sz val="11"/>
    </font>
    <font>
      <name val="Calibri"/>
      <b val="1"/>
      <color rgb="0092400E"/>
      <sz val="11"/>
    </font>
    <font>
      <name val="Calibri"/>
      <b val="1"/>
      <color rgb="001E3A8A"/>
      <sz val="16"/>
    </font>
    <font>
      <name val="Calibri"/>
      <b val="1"/>
      <color rgb="00475569"/>
      <sz val="10"/>
    </font>
    <font>
      <name val="Calibri"/>
      <color rgb="000F172A"/>
      <sz val="10"/>
    </font>
    <font>
      <name val="Calibri"/>
      <b val="1"/>
      <color rgb="00FFFFFF"/>
      <sz val="13"/>
    </font>
    <font>
      <name val="Calibri"/>
      <b val="1"/>
      <color rgb="00DC2626"/>
      <sz val="11"/>
    </font>
    <font>
      <name val="Calibri"/>
      <b val="1"/>
      <color rgb="001E3A8A"/>
      <sz val="13"/>
    </font>
    <font>
      <name val="Calibri"/>
      <b val="1"/>
      <color rgb="001E3A8A"/>
      <sz val="11"/>
    </font>
  </fonts>
  <fills count="12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9A3412"/>
        <bgColor rgb="009A3412"/>
      </patternFill>
    </fill>
    <fill>
      <patternFill patternType="solid">
        <fgColor rgb="00059669"/>
        <bgColor rgb="00059669"/>
      </patternFill>
    </fill>
    <fill>
      <patternFill patternType="solid">
        <fgColor rgb="00DC2626"/>
        <bgColor rgb="00DC2626"/>
      </patternFill>
    </fill>
    <fill>
      <patternFill patternType="solid">
        <fgColor rgb="00EFF6FF"/>
        <bgColor rgb="00EFF6FF"/>
      </patternFill>
    </fill>
    <fill>
      <patternFill patternType="solid">
        <fgColor rgb="00D1FAE5"/>
        <bgColor rgb="00D1FAE5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DBEAFE"/>
        <bgColor rgb="00DBEAFE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medium">
        <color rgb="001E3A8A"/>
      </top>
      <bottom style="medium">
        <color rgb="001E3A8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3A8A"/>
      </bottom>
    </border>
    <border>
      <left style="medium">
        <color rgb="001E3A8A"/>
      </left>
      <right style="medium">
        <color rgb="001E3A8A"/>
      </right>
      <top style="medium">
        <color rgb="001E3A8A"/>
      </top>
      <bottom style="medium">
        <color rgb="001E3A8A"/>
      </bottom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13" fillId="2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/>
    </xf>
    <xf numFmtId="0" fontId="15" fillId="9" borderId="4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5" fillId="0" borderId="0" pivotButton="0" quotePrefix="0" xfId="0"/>
    <xf numFmtId="0" fontId="6" fillId="0" borderId="0" applyAlignment="1" pivotButton="0" quotePrefix="0" xfId="0">
      <alignment horizontal="right" vertical="center"/>
    </xf>
    <xf numFmtId="0" fontId="6" fillId="0" borderId="0" pivotButton="0" quotePrefix="0" xfId="0"/>
    <xf numFmtId="0" fontId="14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0" fontId="6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left" vertical="center"/>
    </xf>
    <xf numFmtId="164" fontId="5" fillId="0" borderId="2" applyAlignment="1" pivotButton="0" quotePrefix="0" xfId="0">
      <alignment horizontal="right" vertical="center"/>
    </xf>
    <xf numFmtId="0" fontId="16" fillId="7" borderId="1" applyAlignment="1" pivotButton="0" quotePrefix="0" xfId="0">
      <alignment horizontal="right" vertical="center"/>
    </xf>
    <xf numFmtId="0" fontId="0" fillId="0" borderId="1" pivotButton="0" quotePrefix="0" xfId="0"/>
    <xf numFmtId="164" fontId="16" fillId="7" borderId="1" applyAlignment="1" pivotButton="0" quotePrefix="0" xfId="0">
      <alignment horizontal="right" vertical="center"/>
    </xf>
    <xf numFmtId="0" fontId="5" fillId="0" borderId="2" pivotButton="0" quotePrefix="0" xfId="0"/>
    <xf numFmtId="0" fontId="2" fillId="0" borderId="2" pivotButton="0" quotePrefix="0" xfId="0"/>
    <xf numFmtId="0" fontId="6" fillId="0" borderId="2" pivotButton="0" quotePrefix="0" xfId="0"/>
    <xf numFmtId="164" fontId="8" fillId="0" borderId="2" applyAlignment="1" pivotButton="0" quotePrefix="0" xfId="0">
      <alignment horizontal="right" vertical="center"/>
    </xf>
    <xf numFmtId="164" fontId="9" fillId="0" borderId="2" applyAlignment="1" pivotButton="0" quotePrefix="0" xfId="0">
      <alignment horizontal="right" vertical="center"/>
    </xf>
    <xf numFmtId="164" fontId="6" fillId="0" borderId="2" applyAlignment="1" pivotButton="0" quotePrefix="0" xfId="0">
      <alignment horizontal="right" vertical="center"/>
    </xf>
    <xf numFmtId="0" fontId="13" fillId="5" borderId="3" applyAlignment="1" pivotButton="0" quotePrefix="0" xfId="0">
      <alignment horizontal="right" vertical="center"/>
    </xf>
    <xf numFmtId="0" fontId="0" fillId="0" borderId="3" pivotButton="0" quotePrefix="0" xfId="0"/>
    <xf numFmtId="164" fontId="13" fillId="5" borderId="3" applyAlignment="1" pivotButton="0" quotePrefix="0" xfId="0">
      <alignment horizontal="right" vertical="center"/>
    </xf>
    <xf numFmtId="0" fontId="5" fillId="9" borderId="2" applyAlignment="1" pivotButton="0" quotePrefix="0" xfId="0">
      <alignment horizontal="right" vertical="center"/>
    </xf>
    <xf numFmtId="0" fontId="0" fillId="0" borderId="2" pivotButton="0" quotePrefix="0" xfId="0"/>
    <xf numFmtId="164" fontId="5" fillId="9" borderId="2" applyAlignment="1" pivotButton="0" quotePrefix="0" xfId="0">
      <alignment horizontal="right" vertical="center"/>
    </xf>
    <xf numFmtId="0" fontId="13" fillId="6" borderId="3" applyAlignment="1" pivotButton="0" quotePrefix="0" xfId="0">
      <alignment horizontal="right" vertical="center"/>
    </xf>
    <xf numFmtId="164" fontId="13" fillId="6" borderId="3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5" fillId="7" borderId="2" applyAlignment="1" pivotButton="0" quotePrefix="0" xfId="0">
      <alignment horizontal="left" vertical="center"/>
    </xf>
    <xf numFmtId="0" fontId="5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3" fontId="5" fillId="0" borderId="2" applyAlignment="1" pivotButton="0" quotePrefix="0" xfId="0">
      <alignment horizontal="right" vertical="center"/>
    </xf>
    <xf numFmtId="165" fontId="5" fillId="0" borderId="2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3" fontId="6" fillId="0" borderId="2" applyAlignment="1" pivotButton="0" quotePrefix="0" xfId="0">
      <alignment horizontal="right" vertical="center"/>
    </xf>
    <xf numFmtId="3" fontId="6" fillId="0" borderId="2" applyAlignment="1" pivotButton="0" quotePrefix="0" xfId="0">
      <alignment horizontal="center" vertical="center"/>
    </xf>
    <xf numFmtId="164" fontId="5" fillId="7" borderId="2" applyAlignment="1" pivotButton="0" quotePrefix="0" xfId="0">
      <alignment horizontal="right" vertical="center"/>
    </xf>
    <xf numFmtId="164" fontId="7" fillId="8" borderId="2" applyAlignment="1" pivotButton="0" quotePrefix="0" xfId="0">
      <alignment horizontal="right" vertical="center"/>
    </xf>
    <xf numFmtId="0" fontId="9" fillId="9" borderId="2" applyAlignment="1" pivotButton="0" quotePrefix="0" xfId="0">
      <alignment horizontal="center" vertical="center"/>
    </xf>
    <xf numFmtId="164" fontId="8" fillId="10" borderId="2" applyAlignment="1" pivotButton="0" quotePrefix="0" xfId="0">
      <alignment horizontal="right" vertical="center"/>
    </xf>
    <xf numFmtId="164" fontId="9" fillId="9" borderId="2" applyAlignment="1" pivotButton="0" quotePrefix="0" xfId="0">
      <alignment horizontal="right" vertical="center"/>
    </xf>
    <xf numFmtId="0" fontId="5" fillId="11" borderId="3" applyAlignment="1" pivotButton="0" quotePrefix="0" xfId="0">
      <alignment horizontal="center" vertical="center"/>
    </xf>
    <xf numFmtId="0" fontId="0" fillId="11" borderId="3" pivotButton="0" quotePrefix="0" xfId="0"/>
    <xf numFmtId="3" fontId="5" fillId="11" borderId="3" applyAlignment="1" pivotButton="0" quotePrefix="0" xfId="0">
      <alignment horizontal="right" vertical="center"/>
    </xf>
    <xf numFmtId="3" fontId="5" fillId="11" borderId="3" applyAlignment="1" pivotButton="0" quotePrefix="0" xfId="0">
      <alignment horizontal="center" vertical="center"/>
    </xf>
    <xf numFmtId="164" fontId="5" fillId="11" borderId="3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left" vertical="center" wrapText="1"/>
    </xf>
    <xf numFmtId="0" fontId="5" fillId="9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41"/>
  <sheetViews>
    <sheetView showGridLines="1" workbookViewId="0">
      <selection activeCell="A1" sqref="A1"/>
    </sheetView>
  </sheetViews>
  <sheetFormatPr baseColWidth="8" defaultRowHeight="15" outlineLevelCol="0"/>
  <cols>
    <col width="3" customWidth="1" min="1" max="1"/>
    <col width="8" customWidth="1" min="2" max="2"/>
    <col width="38" customWidth="1" min="3" max="3"/>
    <col width="28" customWidth="1" min="4" max="4"/>
    <col width="34" customWidth="1" min="5" max="5"/>
    <col width="22" customWidth="1" min="6" max="6"/>
  </cols>
  <sheetData>
    <row r="2" ht="24" customHeight="1">
      <c r="B2" s="1">
        <f>Billing_Settings_Rates!$C$7</f>
        <v/>
      </c>
    </row>
    <row r="3">
      <c r="B3" s="2">
        <f>"Regn. No.: " &amp; Billing_Settings_Rates!$C$8</f>
        <v/>
      </c>
    </row>
    <row r="4">
      <c r="B4" s="3">
        <f>Billing_Settings_Rates!$C$9</f>
        <v/>
      </c>
    </row>
    <row r="5">
      <c r="B5" s="4">
        <f>"Contact: " &amp; Billing_Settings_Rates!$C$10</f>
        <v/>
      </c>
    </row>
    <row r="7" ht="26" customHeight="1">
      <c r="B7" s="5" t="inlineStr">
        <is>
          <t>MONTHLY MAINTENANCE BILL</t>
        </is>
      </c>
    </row>
    <row r="9" ht="20" customHeight="1">
      <c r="B9" s="6" t="inlineStr">
        <is>
          <t>SELECT FLAT NO:</t>
        </is>
      </c>
      <c r="C9" s="7" t="inlineStr">
        <is>
          <t>A-102</t>
        </is>
      </c>
      <c r="D9" s="8" t="inlineStr">
        <is>
          <t>Bill No.:</t>
        </is>
      </c>
      <c r="F9" s="9">
        <f>"SM/26-27/" &amp; C9</f>
        <v/>
      </c>
    </row>
    <row r="10" ht="20" customHeight="1">
      <c r="B10" s="10" t="inlineStr">
        <is>
          <t>Member Name:</t>
        </is>
      </c>
      <c r="C10" s="10">
        <f>VLOOKUP(C9,Flat_Billing_Register!$A$6:$S$29,3,FALSE)</f>
        <v/>
      </c>
      <c r="D10" s="10" t="inlineStr">
        <is>
          <t>Bill Date:</t>
        </is>
      </c>
      <c r="F10" s="11">
        <f>Billing_Settings_Rates!$C$20</f>
        <v/>
      </c>
    </row>
    <row r="11" ht="20" customHeight="1">
      <c r="B11" s="10" t="inlineStr">
        <is>
          <t>Wing / Unit:</t>
        </is>
      </c>
      <c r="C11" s="12">
        <f>VLOOKUP(C9,Flat_Billing_Register!$A$6:$S$29,2,FALSE) &amp; " Wing - Flat " &amp; C9</f>
        <v/>
      </c>
      <c r="D11" s="10" t="inlineStr">
        <is>
          <t>Billing Period:</t>
        </is>
      </c>
      <c r="F11" s="9">
        <f>Billing_Settings_Rates!$C$19</f>
        <v/>
      </c>
    </row>
    <row r="12" ht="20" customHeight="1">
      <c r="B12" s="10" t="inlineStr">
        <is>
          <t>Carpet Area:</t>
        </is>
      </c>
      <c r="C12" s="12">
        <f>VLOOKUP(C9,Flat_Billing_Register!$A$6:$S$29,4,FALSE) &amp; " Sq.Ft."</f>
        <v/>
      </c>
      <c r="D12" s="10" t="inlineStr">
        <is>
          <t>Payment Due Date:</t>
        </is>
      </c>
      <c r="F12" s="13">
        <f>Billing_Settings_Rates!$C$21</f>
        <v/>
      </c>
    </row>
    <row r="13" ht="20" customHeight="1">
      <c r="B13" s="10" t="inlineStr">
        <is>
          <t>Occupancy Status:</t>
        </is>
      </c>
      <c r="C13" s="10">
        <f>VLOOKUP(C9,Flat_Billing_Register!$A$6:$S$29,5,FALSE)</f>
        <v/>
      </c>
      <c r="D13" s="10" t="inlineStr">
        <is>
          <t>Late Fee Effective:</t>
        </is>
      </c>
      <c r="F13" s="14">
        <f>Billing_Settings_Rates!$C$23</f>
        <v/>
      </c>
    </row>
    <row r="15" ht="24" customHeight="1">
      <c r="B15" s="15" t="inlineStr">
        <is>
          <t>Sr.</t>
        </is>
      </c>
      <c r="C15" s="16" t="inlineStr">
        <is>
          <t>Particulars / Charge Head</t>
        </is>
      </c>
      <c r="D15" s="16" t="inlineStr">
        <is>
          <t>Statutory Bye-law Reference</t>
        </is>
      </c>
      <c r="E15" s="16" t="inlineStr">
        <is>
          <t>Rate Applicable</t>
        </is>
      </c>
      <c r="F15" s="17" t="inlineStr">
        <is>
          <t>Amount (INR)</t>
        </is>
      </c>
    </row>
    <row r="16" ht="20" customHeight="1">
      <c r="B16" s="18" t="n">
        <v>1</v>
      </c>
      <c r="C16" s="19" t="inlineStr">
        <is>
          <t>Service Charges (Security, Cleaning, Office Admin)</t>
        </is>
      </c>
      <c r="D16" s="20" t="inlineStr">
        <is>
          <t>Model Bye-law 67(a)(vii)</t>
        </is>
      </c>
      <c r="E16" s="21" t="inlineStr">
        <is>
          <t>Fixed equal charge</t>
        </is>
      </c>
      <c r="F16" s="22">
        <f>VLOOKUP(C9,Flat_Billing_Register!$A$6:$S$29,8,FALSE)</f>
        <v/>
      </c>
    </row>
    <row r="17" ht="20" customHeight="1">
      <c r="B17" s="18" t="n">
        <v>2</v>
      </c>
      <c r="C17" s="19" t="inlineStr">
        <is>
          <t>Sinking Fund Provision</t>
        </is>
      </c>
      <c r="D17" s="20" t="inlineStr">
        <is>
          <t>Model Bye-law 67(a)(iii)</t>
        </is>
      </c>
      <c r="E17" s="21" t="inlineStr">
        <is>
          <t>@ ₹0.50 / Sq.Ft.</t>
        </is>
      </c>
      <c r="F17" s="22">
        <f>VLOOKUP(C9,Flat_Billing_Register!$A$6:$S$29,9,FALSE)</f>
        <v/>
      </c>
    </row>
    <row r="18" ht="20" customHeight="1">
      <c r="B18" s="18" t="n">
        <v>3</v>
      </c>
      <c r="C18" s="19" t="inlineStr">
        <is>
          <t>Repair &amp; Maintenance Fund</t>
        </is>
      </c>
      <c r="D18" s="20" t="inlineStr">
        <is>
          <t>Model Bye-law 67(a)(ii)</t>
        </is>
      </c>
      <c r="E18" s="21" t="inlineStr">
        <is>
          <t>@ ₹1.00 / Sq.Ft.</t>
        </is>
      </c>
      <c r="F18" s="22">
        <f>VLOOKUP(C9,Flat_Billing_Register!$A$6:$S$29,10,FALSE)</f>
        <v/>
      </c>
    </row>
    <row r="19" ht="20" customHeight="1">
      <c r="B19" s="18" t="n">
        <v>4</v>
      </c>
      <c r="C19" s="19" t="inlineStr">
        <is>
          <t>Non-Occupancy Charges (NOC)</t>
        </is>
      </c>
      <c r="D19" s="20" t="inlineStr">
        <is>
          <t>Sec 79A / Bye-law 43(2)(c)</t>
        </is>
      </c>
      <c r="E19" s="21" t="inlineStr">
        <is>
          <t>10% of Service Charges (if Rented)</t>
        </is>
      </c>
      <c r="F19" s="22">
        <f>VLOOKUP(C9,Flat_Billing_Register!$A$6:$S$29,12,FALSE)</f>
        <v/>
      </c>
    </row>
    <row r="20" ht="20" customHeight="1">
      <c r="B20" s="18" t="n">
        <v>5</v>
      </c>
      <c r="C20" s="21" t="inlineStr">
        <is>
          <t>Parking Charges (4-Wheeler &amp; 2-Wheeler)</t>
        </is>
      </c>
      <c r="D20" s="20" t="inlineStr">
        <is>
          <t>Model Bye-law 67(a)(vi)</t>
        </is>
      </c>
      <c r="E20" s="21" t="inlineStr">
        <is>
          <t>As per vehicle slots</t>
        </is>
      </c>
      <c r="F20" s="22">
        <f>VLOOKUP(C9,Flat_Billing_Register!$A$6:$S$29,11,FALSE)</f>
        <v/>
      </c>
    </row>
    <row r="21" ht="20" customHeight="1">
      <c r="B21" s="18" t="n">
        <v>6</v>
      </c>
      <c r="C21" s="21" t="inlineStr">
        <is>
          <t>Water &amp; Pumping Charges</t>
        </is>
      </c>
      <c r="D21" s="20" t="inlineStr">
        <is>
          <t>Model Bye-law 67(a)(i)</t>
        </is>
      </c>
      <c r="E21" s="21" t="inlineStr">
        <is>
          <t>Fixed monthly share</t>
        </is>
      </c>
      <c r="F21" s="22">
        <f>Billing_Settings_Rates!$C$34</f>
        <v/>
      </c>
    </row>
    <row r="22" ht="20" customHeight="1">
      <c r="B22" s="18" t="n">
        <v>7</v>
      </c>
      <c r="C22" s="21" t="inlineStr">
        <is>
          <t>Common Area Electricity &amp; Generator Backup</t>
        </is>
      </c>
      <c r="D22" s="20" t="inlineStr">
        <is>
          <t>Model Bye-law 67(a)(viii)</t>
        </is>
      </c>
      <c r="E22" s="21" t="inlineStr">
        <is>
          <t>Fixed monthly share</t>
        </is>
      </c>
      <c r="F22" s="22">
        <f>Billing_Settings_Rates!$C$35</f>
        <v/>
      </c>
    </row>
    <row r="23" ht="20" customHeight="1">
      <c r="B23" s="18" t="n">
        <v>8</v>
      </c>
      <c r="C23" s="21" t="inlineStr">
        <is>
          <t>Lift Maintenance AMC &amp; Inspection</t>
        </is>
      </c>
      <c r="D23" s="20" t="inlineStr">
        <is>
          <t>Model Bye-law 67(a)(iv)</t>
        </is>
      </c>
      <c r="E23" s="21" t="inlineStr">
        <is>
          <t>Fixed monthly share</t>
        </is>
      </c>
      <c r="F23" s="22">
        <f>Billing_Settings_Rates!$C$36</f>
        <v/>
      </c>
    </row>
    <row r="24" ht="20" customHeight="1">
      <c r="B24" s="18" t="n">
        <v>9</v>
      </c>
      <c r="C24" s="21" t="inlineStr">
        <is>
          <t>Statutory Education &amp; Audit Fund</t>
        </is>
      </c>
      <c r="D24" s="20" t="inlineStr">
        <is>
          <t>Model Bye-law 67(a)(v)</t>
        </is>
      </c>
      <c r="E24" s="21" t="inlineStr">
        <is>
          <t>Statutory provision</t>
        </is>
      </c>
      <c r="F24" s="22">
        <f>Billing_Settings_Rates!$C$37</f>
        <v/>
      </c>
    </row>
    <row r="25" ht="22" customHeight="1">
      <c r="B25" s="23" t="inlineStr">
        <is>
          <t>SUB-TOTAL: CURRENT MONTH CHARGES (A)</t>
        </is>
      </c>
      <c r="C25" s="24" t="n"/>
      <c r="D25" s="24" t="n"/>
      <c r="E25" s="24" t="n"/>
      <c r="F25" s="25">
        <f>SUM(F16:F24)</f>
        <v/>
      </c>
    </row>
    <row r="26" ht="20" customHeight="1">
      <c r="B26" s="18" t="n">
        <v>10</v>
      </c>
      <c r="C26" s="26" t="inlineStr">
        <is>
          <t>Previous Outstanding Arrears</t>
        </is>
      </c>
      <c r="D26" s="27" t="inlineStr">
        <is>
          <t>Overdue balance</t>
        </is>
      </c>
      <c r="E26" s="28" t="inlineStr">
        <is>
          <t>Brought forward from ledger</t>
        </is>
      </c>
      <c r="F26" s="29">
        <f>VLOOKUP(C9,Flat_Billing_Register!$A$6:$S$29,15,FALSE)</f>
        <v/>
      </c>
    </row>
    <row r="27" ht="20" customHeight="1">
      <c r="B27" s="18" t="n">
        <v>11</v>
      </c>
      <c r="C27" s="26" t="inlineStr">
        <is>
          <t>Interest on Overdue Arrears</t>
        </is>
      </c>
      <c r="D27" s="27" t="inlineStr">
        <is>
          <t>Model Bye-law 68</t>
        </is>
      </c>
      <c r="E27" s="28" t="inlineStr">
        <is>
          <t>@ 21% p.a. simple interest on arrears</t>
        </is>
      </c>
      <c r="F27" s="30">
        <f>VLOOKUP(C9,Flat_Billing_Register!$A$6:$S$29,16,FALSE)</f>
        <v/>
      </c>
    </row>
    <row r="28" ht="20" customHeight="1">
      <c r="B28" s="18" t="n">
        <v>12</v>
      </c>
      <c r="C28" s="28" t="inlineStr">
        <is>
          <t>Less: Advance / Credit Adjustments</t>
        </is>
      </c>
      <c r="D28" s="27" t="inlineStr">
        <is>
          <t>Credit ledger</t>
        </is>
      </c>
      <c r="E28" s="28" t="inlineStr">
        <is>
          <t>Pre-paid balance deducted</t>
        </is>
      </c>
      <c r="F28" s="31">
        <f>VLOOKUP(C9,Flat_Billing_Register!$A$6:$S$29,17,FALSE)</f>
        <v/>
      </c>
    </row>
    <row r="29" ht="30" customHeight="1">
      <c r="B29" s="32" t="inlineStr">
        <is>
          <t>NET AMOUNT PAYABLE ON OR BEFORE DUE DATE (A + B):</t>
        </is>
      </c>
      <c r="C29" s="33" t="n"/>
      <c r="D29" s="33" t="n"/>
      <c r="E29" s="33" t="n"/>
      <c r="F29" s="34">
        <f>F25+F26+F27-F28</f>
        <v/>
      </c>
    </row>
    <row r="30" ht="22" customHeight="1">
      <c r="B30" s="35" t="inlineStr">
        <is>
          <t>Add: Late Payment Surcharge (if paid after Due Date):</t>
        </is>
      </c>
      <c r="C30" s="36" t="n"/>
      <c r="D30" s="36" t="n"/>
      <c r="E30" s="36" t="n"/>
      <c r="F30" s="37">
        <f>Billing_Settings_Rates!$C$39</f>
        <v/>
      </c>
    </row>
    <row r="31" ht="28" customHeight="1">
      <c r="B31" s="38" t="inlineStr">
        <is>
          <t>AMOUNT PAYABLE AFTER DUE DATE:</t>
        </is>
      </c>
      <c r="C31" s="33" t="n"/>
      <c r="D31" s="33" t="n"/>
      <c r="E31" s="33" t="n"/>
      <c r="F31" s="39">
        <f>F29+F30</f>
        <v/>
      </c>
    </row>
    <row r="33">
      <c r="B33" s="40" t="inlineStr">
        <is>
          <t>BANK ACCOUNT &amp; PAYMENT DETAILS</t>
        </is>
      </c>
      <c r="D33" s="40" t="inlineStr">
        <is>
          <t>IMPORTANT PAYMENT NOTES</t>
        </is>
      </c>
    </row>
    <row r="34" ht="20" customHeight="1">
      <c r="B34" s="41">
        <f>"Bank Name: " &amp; Billing_Settings_Rates!$C$11</f>
        <v/>
      </c>
      <c r="C34" s="36" t="n"/>
      <c r="D34" s="20" t="inlineStr">
        <is>
          <t>1. Payments can be made via NEFT/RTGS/IMPS/UPI.</t>
        </is>
      </c>
      <c r="E34" s="36" t="n"/>
      <c r="F34" s="36" t="n"/>
    </row>
    <row r="35" ht="20" customHeight="1">
      <c r="B35" s="41">
        <f>"Account No: " &amp; Billing_Settings_Rates!$C$12</f>
        <v/>
      </c>
      <c r="C35" s="36" t="n"/>
      <c r="D35" s="20" t="inlineStr">
        <is>
          <t>2. Quote Flat No. in transaction remarks.</t>
        </is>
      </c>
      <c r="E35" s="36" t="n"/>
      <c r="F35" s="36" t="n"/>
    </row>
    <row r="36" ht="20" customHeight="1">
      <c r="B36" s="41">
        <f>"IFSC Code: " &amp; Billing_Settings_Rates!$C$13</f>
        <v/>
      </c>
      <c r="C36" s="36" t="n"/>
      <c r="D36" s="20" t="inlineStr">
        <is>
          <t>3. Simple interest @ 21% p.a. charged on defaults.</t>
        </is>
      </c>
      <c r="E36" s="36" t="n"/>
      <c r="F36" s="36" t="n"/>
    </row>
    <row r="37" ht="20" customHeight="1">
      <c r="B37" s="41">
        <f>"UPI ID: " &amp; Billing_Settings_Rates!$C$14</f>
        <v/>
      </c>
      <c r="C37" s="36" t="n"/>
      <c r="D37" s="20" t="inlineStr">
        <is>
          <t>4. Cheque bounce attracts ₹500 bank penalty.</t>
        </is>
      </c>
      <c r="E37" s="36" t="n"/>
      <c r="F37" s="36" t="n"/>
    </row>
    <row r="41">
      <c r="B41" s="42" t="inlineStr">
        <is>
          <t>Prepared By (Manager / Accountant)</t>
        </is>
      </c>
      <c r="D41" s="42" t="inlineStr">
        <is>
          <t>Hon. Treasurer</t>
        </is>
      </c>
      <c r="E41" s="42" t="inlineStr">
        <is>
          <t>Hon. Secretary / Chairman</t>
        </is>
      </c>
    </row>
  </sheetData>
  <mergeCells count="20">
    <mergeCell ref="B4:F4"/>
    <mergeCell ref="B7:F7"/>
    <mergeCell ref="B3:F3"/>
    <mergeCell ref="B30:E30"/>
    <mergeCell ref="B2:F2"/>
    <mergeCell ref="D37:F37"/>
    <mergeCell ref="B25:E25"/>
    <mergeCell ref="D33:F33"/>
    <mergeCell ref="B31:E31"/>
    <mergeCell ref="B34:C34"/>
    <mergeCell ref="B37:C37"/>
    <mergeCell ref="D35:F35"/>
    <mergeCell ref="D34:F34"/>
    <mergeCell ref="B33:C33"/>
    <mergeCell ref="E41:F41"/>
    <mergeCell ref="B5:F5"/>
    <mergeCell ref="B29:E29"/>
    <mergeCell ref="B36:C36"/>
    <mergeCell ref="D36:F36"/>
    <mergeCell ref="B35:C35"/>
  </mergeCells>
  <dataValidations count="1">
    <dataValidation sqref="C9" showDropDown="0" showInputMessage="0" showErrorMessage="0" allowBlank="0" errorTitle="Invalid Flat Selection" error="Please select a valid Flat No. from the dropdown list" promptTitle="Choose Flat Number" prompt="Select Flat No. to generate maintenance bill" type="list">
      <formula1>"A-101,A-102,A-103,A-104,A-201,A-202,A-203,A-204,A-301,A-302,A-303,A-304,B-101,B-102,B-103,B-104,B-201,B-202,B-203,B-204,B-301,B-302,B-303,B-304"</formula1>
    </dataValidation>
  </dataValidations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E39"/>
  <sheetViews>
    <sheetView showGridLines="1" workbookViewId="0">
      <selection activeCell="A1" sqref="A1"/>
    </sheetView>
  </sheetViews>
  <sheetFormatPr baseColWidth="8" defaultRowHeight="15" outlineLevelCol="0"/>
  <cols>
    <col width="5" customWidth="1" min="1" max="1"/>
    <col width="45" customWidth="1" min="2" max="2"/>
    <col width="30" customWidth="1" min="3" max="3"/>
    <col width="38" customWidth="1" min="4" max="4"/>
    <col width="55" customWidth="1" min="5" max="5"/>
  </cols>
  <sheetData>
    <row r="2" ht="40" customHeight="1">
      <c r="A2" s="43" t="inlineStr">
        <is>
          <t>HOUSING SOCIETY MAINTENANCE BILLING - CONFIGURATION &amp; TARIFF SETTINGS</t>
        </is>
      </c>
    </row>
    <row r="3">
      <c r="A3" s="44" t="inlineStr">
        <is>
          <t>Manage Society details, billing cycle dates, and statutory rate parameters here. All bill calculations update dynamically.</t>
        </is>
      </c>
    </row>
    <row r="5">
      <c r="A5" s="45" t="inlineStr">
        <is>
          <t>1. SOCIETY MASTER INFORMATION</t>
        </is>
      </c>
    </row>
    <row r="6">
      <c r="B6" s="16" t="inlineStr">
        <is>
          <t>Field Name</t>
        </is>
      </c>
      <c r="C6" s="16" t="inlineStr">
        <is>
          <t>Value / Configuration</t>
        </is>
      </c>
      <c r="D6" s="16" t="inlineStr">
        <is>
          <t>Notes / Description</t>
        </is>
      </c>
    </row>
    <row r="7">
      <c r="B7" s="26" t="inlineStr">
        <is>
          <t>Society Full Name</t>
        </is>
      </c>
      <c r="C7" s="28" t="inlineStr">
        <is>
          <t>GOKULDHAM CO-OPERATIVE HOUSING SOCIETY LTD.</t>
        </is>
      </c>
      <c r="D7" s="27" t="inlineStr">
        <is>
          <t>Official Name as registered under MCS Act</t>
        </is>
      </c>
    </row>
    <row r="8">
      <c r="B8" s="26" t="inlineStr">
        <is>
          <t>Registration Number</t>
        </is>
      </c>
      <c r="C8" s="28" t="inlineStr">
        <is>
          <t>BOM/HSG/TC/12345/2018</t>
        </is>
      </c>
      <c r="D8" s="27" t="inlineStr">
        <is>
          <t>Registration Certificate Number</t>
        </is>
      </c>
    </row>
    <row r="9">
      <c r="B9" s="26" t="inlineStr">
        <is>
          <t>Registered Address</t>
        </is>
      </c>
      <c r="C9" s="28" t="inlineStr">
        <is>
          <t>Plot No. 42, Sector 18, Palm Beach Road, Vashi, Navi Mumbai - 400703</t>
        </is>
      </c>
      <c r="D9" s="27" t="inlineStr">
        <is>
          <t>Full postal address of the society</t>
        </is>
      </c>
    </row>
    <row r="10">
      <c r="B10" s="26" t="inlineStr">
        <is>
          <t>Email &amp; Contact Phone</t>
        </is>
      </c>
      <c r="C10" s="28" t="inlineStr">
        <is>
          <t>gokuldham.chs@gmail.com | +91 98765 43210</t>
        </is>
      </c>
      <c r="D10" s="27" t="inlineStr">
        <is>
          <t>Official society correspondence contacts</t>
        </is>
      </c>
    </row>
    <row r="11">
      <c r="B11" s="26" t="inlineStr">
        <is>
          <t>Bank Name &amp; Branch</t>
        </is>
      </c>
      <c r="C11" s="28" t="inlineStr">
        <is>
          <t>State Bank of India, Vashi Sector 17 Branch</t>
        </is>
      </c>
      <c r="D11" s="27" t="inlineStr">
        <is>
          <t>Designated maintenance collection account bank</t>
        </is>
      </c>
    </row>
    <row r="12">
      <c r="B12" s="26" t="inlineStr">
        <is>
          <t>Bank Account Number</t>
        </is>
      </c>
      <c r="C12" s="28" t="inlineStr">
        <is>
          <t>30123456789</t>
        </is>
      </c>
      <c r="D12" s="27" t="inlineStr">
        <is>
          <t>Society Current / Savings Account number</t>
        </is>
      </c>
    </row>
    <row r="13">
      <c r="B13" s="26" t="inlineStr">
        <is>
          <t>Bank IFSC Code</t>
        </is>
      </c>
      <c r="C13" s="28" t="inlineStr">
        <is>
          <t>SBIN0001234</t>
        </is>
      </c>
      <c r="D13" s="27" t="inlineStr">
        <is>
          <t>IFSC Code for RTGS / NEFT / IMPS transfers</t>
        </is>
      </c>
    </row>
    <row r="14">
      <c r="B14" s="26" t="inlineStr">
        <is>
          <t>UPI ID for Payments</t>
        </is>
      </c>
      <c r="C14" s="28" t="inlineStr">
        <is>
          <t>gokuldhamchs@sbi</t>
        </is>
      </c>
      <c r="D14" s="27" t="inlineStr">
        <is>
          <t>Official society UPI VPA for GPay / PhonePe / Paytm</t>
        </is>
      </c>
    </row>
    <row r="17">
      <c r="A17" s="45" t="inlineStr">
        <is>
          <t>2. CURRENT BILLING PERIOD DATES</t>
        </is>
      </c>
    </row>
    <row r="18">
      <c r="B18" s="16" t="inlineStr">
        <is>
          <t>Parameter</t>
        </is>
      </c>
      <c r="C18" s="16" t="inlineStr">
        <is>
          <t>Value</t>
        </is>
      </c>
      <c r="D18" s="16" t="inlineStr">
        <is>
          <t>Explanation</t>
        </is>
      </c>
    </row>
    <row r="19">
      <c r="B19" s="26" t="inlineStr">
        <is>
          <t>Billing Month &amp; Year</t>
        </is>
      </c>
      <c r="C19" s="26" t="inlineStr">
        <is>
          <t>October 2026</t>
        </is>
      </c>
      <c r="D19" s="27" t="inlineStr">
        <is>
          <t>Current billing cycle duration</t>
        </is>
      </c>
    </row>
    <row r="20">
      <c r="B20" s="26" t="inlineStr">
        <is>
          <t>Bill Issue Date</t>
        </is>
      </c>
      <c r="C20" s="26" t="inlineStr">
        <is>
          <t>01-10-2026</t>
        </is>
      </c>
      <c r="D20" s="27" t="inlineStr">
        <is>
          <t>Date of generation and distribution of bills</t>
        </is>
      </c>
    </row>
    <row r="21">
      <c r="B21" s="26" t="inlineStr">
        <is>
          <t>Payment Due Date</t>
        </is>
      </c>
      <c r="C21" s="26" t="inlineStr">
        <is>
          <t>15-10-2026</t>
        </is>
      </c>
      <c r="D21" s="27" t="inlineStr">
        <is>
          <t>Last day to pay without late fee or default interest</t>
        </is>
      </c>
    </row>
    <row r="22">
      <c r="B22" s="26" t="inlineStr">
        <is>
          <t>Grace Period (Days)</t>
        </is>
      </c>
      <c r="C22" s="46" t="n">
        <v>5</v>
      </c>
      <c r="D22" s="27" t="inlineStr">
        <is>
          <t>Grace days allowed before late fee applies</t>
        </is>
      </c>
    </row>
    <row r="23">
      <c r="B23" s="26" t="inlineStr">
        <is>
          <t>Late Fee Effective Date</t>
        </is>
      </c>
      <c r="C23" s="26" t="inlineStr">
        <is>
          <t>21-10-2026</t>
        </is>
      </c>
      <c r="D23" s="27" t="inlineStr">
        <is>
          <t>Bills paid on or after this date attract penalty</t>
        </is>
      </c>
    </row>
    <row r="26">
      <c r="A26" s="45" t="inlineStr">
        <is>
          <t>3. STATUTORY TARIFF &amp; RATE SCHEDULE (Under Maharashtra Model Bye-laws)</t>
        </is>
      </c>
    </row>
    <row r="27">
      <c r="B27" s="16" t="inlineStr">
        <is>
          <t>Charge Head</t>
        </is>
      </c>
      <c r="C27" s="16" t="inlineStr">
        <is>
          <t>Tariff Rate</t>
        </is>
      </c>
      <c r="D27" s="16" t="inlineStr">
        <is>
          <t>Basis / Bye-law Reference</t>
        </is>
      </c>
      <c r="E27" s="16" t="inlineStr">
        <is>
          <t>Calculation Method</t>
        </is>
      </c>
    </row>
    <row r="28">
      <c r="B28" s="26" t="inlineStr">
        <is>
          <t>Standard Service Charges (per Flat)</t>
        </is>
      </c>
      <c r="C28" s="22" t="n">
        <v>1200</v>
      </c>
      <c r="D28" s="28" t="inlineStr">
        <is>
          <t>Model Bye-law 67(a)(vii)</t>
        </is>
      </c>
      <c r="E28" s="27" t="inlineStr">
        <is>
          <t>Fixed equal charge for all flats irrespective of area</t>
        </is>
      </c>
    </row>
    <row r="29">
      <c r="B29" s="26" t="inlineStr">
        <is>
          <t>Sinking Fund Rate (per Sq.Ft. / Month)</t>
        </is>
      </c>
      <c r="C29" s="22" t="n">
        <v>0.5</v>
      </c>
      <c r="D29" s="28" t="inlineStr">
        <is>
          <t>Model Bye-law 67(a)(iii)</t>
        </is>
      </c>
      <c r="E29" s="27">
        <f> Area (Sq.Ft.) * Rate (Min 0.25% p.a. of construction cost)</f>
        <v/>
      </c>
    </row>
    <row r="30">
      <c r="B30" s="26" t="inlineStr">
        <is>
          <t>Repair &amp; Maintenance Fund (per Sq.Ft. / Month)</t>
        </is>
      </c>
      <c r="C30" s="22" t="n">
        <v>1</v>
      </c>
      <c r="D30" s="28" t="inlineStr">
        <is>
          <t>Model Bye-law 67(a)(ii)</t>
        </is>
      </c>
      <c r="E30" s="27">
        <f> Area (Sq.Ft.) * Rate (Min 0.75% p.a. of construction cost)</f>
        <v/>
      </c>
    </row>
    <row r="31">
      <c r="B31" s="26" t="inlineStr">
        <is>
          <t>Non-Occupancy Charges (NOC) %</t>
        </is>
      </c>
      <c r="C31" s="47" t="n">
        <v>0.1</v>
      </c>
      <c r="D31" s="28" t="inlineStr">
        <is>
          <t>MCS Sec 79A / Bye-law 43(2)(c)</t>
        </is>
      </c>
      <c r="E31" s="27" t="inlineStr">
        <is>
          <t>STRICT STATUTORY CAP: Exactly 10% of Service Charges only</t>
        </is>
      </c>
    </row>
    <row r="32">
      <c r="B32" s="26" t="inlineStr">
        <is>
          <t>Car Parking Slot Rate (per Car / Month)</t>
        </is>
      </c>
      <c r="C32" s="22" t="n">
        <v>300</v>
      </c>
      <c r="D32" s="28" t="inlineStr">
        <is>
          <t>Model Bye-law 67(a)(vi)</t>
        </is>
      </c>
      <c r="E32" s="27">
        <f> Number of Cars * Rate</f>
        <v/>
      </c>
    </row>
    <row r="33">
      <c r="B33" s="26" t="inlineStr">
        <is>
          <t>Two-Wheeler Slot Rate (per Bike / Month)</t>
        </is>
      </c>
      <c r="C33" s="22" t="n">
        <v>100</v>
      </c>
      <c r="D33" s="28" t="inlineStr">
        <is>
          <t>Model Bye-law 67(a)(vi)</t>
        </is>
      </c>
      <c r="E33" s="27">
        <f> Number of Bikes * Rate</f>
        <v/>
      </c>
    </row>
    <row r="34">
      <c r="B34" s="26" t="inlineStr">
        <is>
          <t>Water &amp; Pumping Charges (per Flat)</t>
        </is>
      </c>
      <c r="C34" s="22" t="n">
        <v>250</v>
      </c>
      <c r="D34" s="28" t="inlineStr">
        <is>
          <t>Model Bye-law 67(a)(i)</t>
        </is>
      </c>
      <c r="E34" s="27" t="inlineStr">
        <is>
          <t>Fixed equal charge or based on sub-meter inlets</t>
        </is>
      </c>
    </row>
    <row r="35">
      <c r="B35" s="26" t="inlineStr">
        <is>
          <t>Common Electricity &amp; GenSet Backup</t>
        </is>
      </c>
      <c r="C35" s="22" t="n">
        <v>150</v>
      </c>
      <c r="D35" s="28" t="inlineStr">
        <is>
          <t>Model Bye-law 67(a)(viii)</t>
        </is>
      </c>
      <c r="E35" s="27" t="inlineStr">
        <is>
          <t>Fixed monthly share for common lights, pumps, staircase</t>
        </is>
      </c>
    </row>
    <row r="36">
      <c r="B36" s="26" t="inlineStr">
        <is>
          <t>Lift Maintenance AMC &amp; Inspection</t>
        </is>
      </c>
      <c r="C36" s="22" t="n">
        <v>150</v>
      </c>
      <c r="D36" s="28" t="inlineStr">
        <is>
          <t>Model Bye-law 67(a)(iv)</t>
        </is>
      </c>
      <c r="E36" s="27" t="inlineStr">
        <is>
          <t>Fixed monthly share for lift annual maintenance contract</t>
        </is>
      </c>
    </row>
    <row r="37">
      <c r="B37" s="26" t="inlineStr">
        <is>
          <t>Statutory Audit &amp; Education Fund</t>
        </is>
      </c>
      <c r="C37" s="22" t="n">
        <v>50</v>
      </c>
      <c r="D37" s="28" t="inlineStr">
        <is>
          <t>Model Bye-law 67(a)(v)</t>
        </is>
      </c>
      <c r="E37" s="27" t="inlineStr">
        <is>
          <t>Statutory education fund &amp; auditor fees provision</t>
        </is>
      </c>
    </row>
    <row r="38">
      <c r="B38" s="26" t="inlineStr">
        <is>
          <t>Annual Interest on Arrears (%)</t>
        </is>
      </c>
      <c r="C38" s="47" t="n">
        <v>0.21</v>
      </c>
      <c r="D38" s="28" t="inlineStr">
        <is>
          <t>Model Bye-law 68</t>
        </is>
      </c>
      <c r="E38" s="27" t="inlineStr">
        <is>
          <t>Simple interest capped at 21% p.a. on overdue arrears</t>
        </is>
      </c>
    </row>
    <row r="39">
      <c r="B39" s="26" t="inlineStr">
        <is>
          <t>Fixed Late Payment Penalty Surcharge</t>
        </is>
      </c>
      <c r="C39" s="22" t="n">
        <v>100</v>
      </c>
      <c r="D39" s="28" t="inlineStr">
        <is>
          <t>Society Resolution</t>
        </is>
      </c>
      <c r="E39" s="27" t="inlineStr">
        <is>
          <t>Flat administrative penalty if paid after due date</t>
        </is>
      </c>
    </row>
  </sheetData>
  <mergeCells count="2">
    <mergeCell ref="A2:E2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S30"/>
  <sheetViews>
    <sheetView showGridLines="1" workbookViewId="0">
      <selection activeCell="A1" sqref="A1"/>
    </sheetView>
  </sheetViews>
  <sheetFormatPr baseColWidth="8" defaultRowHeight="15" outlineLevelCol="0"/>
  <cols>
    <col width="10" customWidth="1" min="1" max="1"/>
    <col width="8" customWidth="1" min="2" max="2"/>
    <col width="24" customWidth="1" min="3" max="3"/>
    <col width="14" customWidth="1" min="4" max="4"/>
    <col width="16" customWidth="1" min="5" max="5"/>
    <col width="8" customWidth="1" min="6" max="6"/>
    <col width="8" customWidth="1" min="7" max="7"/>
    <col width="16" customWidth="1" min="8" max="8"/>
    <col width="14" customWidth="1" min="9" max="9"/>
    <col width="14" customWidth="1" min="10" max="10"/>
    <col width="15" customWidth="1" min="11" max="11"/>
    <col width="13" customWidth="1" min="12" max="12"/>
    <col width="16" customWidth="1" min="13" max="13"/>
    <col width="18" customWidth="1" min="14" max="14"/>
    <col width="15" customWidth="1" min="15" max="15"/>
    <col width="16" customWidth="1" min="16" max="16"/>
    <col width="15" customWidth="1" min="17" max="17"/>
    <col width="22" customWidth="1" min="18" max="18"/>
    <col width="20" customWidth="1" min="19" max="19"/>
  </cols>
  <sheetData>
    <row r="2" ht="36" customHeight="1">
      <c r="A2" s="43" t="inlineStr">
        <is>
          <t>HOUSING SOCIETY MONTHLY MAINTENANCE BILLING REGISTER (OCTOBER 2026)</t>
        </is>
      </c>
    </row>
    <row r="3">
      <c r="A3" s="44" t="inlineStr">
        <is>
          <t>Automated Flat-wise Maintenance Calculation Sheet. Formulas calculate Service Charges, Sinking Fund, Repair Fund, Parking, NOC (10%), and Interest on Arrears (@ 21% p.a.).</t>
        </is>
      </c>
    </row>
    <row r="5" ht="28" customHeight="1">
      <c r="A5" s="48" t="inlineStr">
        <is>
          <t>Flat No</t>
        </is>
      </c>
      <c r="B5" s="48" t="inlineStr">
        <is>
          <t>Wing</t>
        </is>
      </c>
      <c r="C5" s="48" t="inlineStr">
        <is>
          <t>Member Full Name</t>
        </is>
      </c>
      <c r="D5" s="48" t="inlineStr">
        <is>
          <t>Carpet Area (Sq.Ft.)</t>
        </is>
      </c>
      <c r="E5" s="48" t="inlineStr">
        <is>
          <t>Occupancy Status</t>
        </is>
      </c>
      <c r="F5" s="48" t="inlineStr">
        <is>
          <t>Cars</t>
        </is>
      </c>
      <c r="G5" s="48" t="inlineStr">
        <is>
          <t>Bikes</t>
        </is>
      </c>
      <c r="H5" s="15" t="inlineStr">
        <is>
          <t>Service Charges</t>
        </is>
      </c>
      <c r="I5" s="15" t="inlineStr">
        <is>
          <t>Sinking Fund</t>
        </is>
      </c>
      <c r="J5" s="15" t="inlineStr">
        <is>
          <t>Repair Fund</t>
        </is>
      </c>
      <c r="K5" s="15" t="inlineStr">
        <is>
          <t>Parking Charges</t>
        </is>
      </c>
      <c r="L5" s="15" t="inlineStr">
        <is>
          <t>NOC (10%)</t>
        </is>
      </c>
      <c r="M5" s="15" t="inlineStr">
        <is>
          <t>Water &amp; Amenities</t>
        </is>
      </c>
      <c r="N5" s="48" t="inlineStr">
        <is>
          <t>Current Month Total</t>
        </is>
      </c>
      <c r="O5" s="49" t="inlineStr">
        <is>
          <t>Previous Arrears</t>
        </is>
      </c>
      <c r="P5" s="49" t="inlineStr">
        <is>
          <t>Interest on Arrears</t>
        </is>
      </c>
      <c r="Q5" s="49" t="inlineStr">
        <is>
          <t>Advance / Credit</t>
        </is>
      </c>
      <c r="R5" s="50" t="inlineStr">
        <is>
          <t>NET PAYABLE ON DUE DATE</t>
        </is>
      </c>
      <c r="S5" s="51" t="inlineStr">
        <is>
          <t>Amount After Due Date</t>
        </is>
      </c>
    </row>
    <row r="6" ht="20" customHeight="1">
      <c r="A6" s="52" t="inlineStr">
        <is>
          <t>A-101</t>
        </is>
      </c>
      <c r="B6" s="18" t="inlineStr">
        <is>
          <t>A</t>
        </is>
      </c>
      <c r="C6" s="19" t="inlineStr">
        <is>
          <t>Rajiv Sharma</t>
        </is>
      </c>
      <c r="D6" s="53" t="n">
        <v>750</v>
      </c>
      <c r="E6" s="18" t="inlineStr">
        <is>
          <t>Self-Occupied</t>
        </is>
      </c>
      <c r="F6" s="54" t="n">
        <v>1</v>
      </c>
      <c r="G6" s="54" t="n">
        <v>1</v>
      </c>
      <c r="H6" s="31">
        <f>Billing_Settings_Rates!$C$28</f>
        <v/>
      </c>
      <c r="I6" s="31">
        <f>D6*Billing_Settings_Rates!$C$29</f>
        <v/>
      </c>
      <c r="J6" s="31">
        <f>D6*Billing_Settings_Rates!$C$30</f>
        <v/>
      </c>
      <c r="K6" s="31">
        <f>(F6*Billing_Settings_Rates!$C$32)+(G6*Billing_Settings_Rates!$C$33)</f>
        <v/>
      </c>
      <c r="L6" s="22">
        <f>IF(UPPER(TRIM(E6))="RENTED",ROUND(H6*Billing_Settings_Rates!$C$31,0),0)</f>
        <v/>
      </c>
      <c r="M6" s="31">
        <f>Billing_Settings_Rates!$C$34+Billing_Settings_Rates!$C$35+Billing_Settings_Rates!$C$36+Billing_Settings_Rates!$C$37</f>
        <v/>
      </c>
      <c r="N6" s="55">
        <f>SUM(H6:M6)</f>
        <v/>
      </c>
      <c r="O6" s="22" t="n">
        <v>0</v>
      </c>
      <c r="P6" s="31">
        <f>IF(O6&gt;0,ROUND(O6*(Billing_Settings_Rates!$C$38/12),0),0)</f>
        <v/>
      </c>
      <c r="Q6" s="31" t="n">
        <v>0</v>
      </c>
      <c r="R6" s="56">
        <f>N6+O6+P6-Q6</f>
        <v/>
      </c>
      <c r="S6" s="29">
        <f>R6+Billing_Settings_Rates!$C$39</f>
        <v/>
      </c>
    </row>
    <row r="7" ht="20" customHeight="1">
      <c r="A7" s="52" t="inlineStr">
        <is>
          <t>A-102</t>
        </is>
      </c>
      <c r="B7" s="18" t="inlineStr">
        <is>
          <t>A</t>
        </is>
      </c>
      <c r="C7" s="19" t="inlineStr">
        <is>
          <t>Amit Verma</t>
        </is>
      </c>
      <c r="D7" s="53" t="n">
        <v>850</v>
      </c>
      <c r="E7" s="57" t="inlineStr">
        <is>
          <t>Rented</t>
        </is>
      </c>
      <c r="F7" s="54" t="n">
        <v>1</v>
      </c>
      <c r="G7" s="54" t="n">
        <v>2</v>
      </c>
      <c r="H7" s="31">
        <f>Billing_Settings_Rates!$C$28</f>
        <v/>
      </c>
      <c r="I7" s="31">
        <f>D7*Billing_Settings_Rates!$C$29</f>
        <v/>
      </c>
      <c r="J7" s="31">
        <f>D7*Billing_Settings_Rates!$C$30</f>
        <v/>
      </c>
      <c r="K7" s="31">
        <f>(F7*Billing_Settings_Rates!$C$32)+(G7*Billing_Settings_Rates!$C$33)</f>
        <v/>
      </c>
      <c r="L7" s="37">
        <f>IF(UPPER(TRIM(E7))="RENTED",ROUND(H7*Billing_Settings_Rates!$C$31,0),0)</f>
        <v/>
      </c>
      <c r="M7" s="31">
        <f>Billing_Settings_Rates!$C$34+Billing_Settings_Rates!$C$35+Billing_Settings_Rates!$C$36+Billing_Settings_Rates!$C$37</f>
        <v/>
      </c>
      <c r="N7" s="55">
        <f>SUM(H7:M7)</f>
        <v/>
      </c>
      <c r="O7" s="58" t="n">
        <v>4500</v>
      </c>
      <c r="P7" s="59">
        <f>IF(O7&gt;0,ROUND(O7*(Billing_Settings_Rates!$C$38/12),0),0)</f>
        <v/>
      </c>
      <c r="Q7" s="31" t="n">
        <v>0</v>
      </c>
      <c r="R7" s="56">
        <f>N7+O7+P7-Q7</f>
        <v/>
      </c>
      <c r="S7" s="29">
        <f>R7+Billing_Settings_Rates!$C$39</f>
        <v/>
      </c>
    </row>
    <row r="8" ht="20" customHeight="1">
      <c r="A8" s="52" t="inlineStr">
        <is>
          <t>A-103</t>
        </is>
      </c>
      <c r="B8" s="18" t="inlineStr">
        <is>
          <t>A</t>
        </is>
      </c>
      <c r="C8" s="19" t="inlineStr">
        <is>
          <t>Sunita Deshmukh</t>
        </is>
      </c>
      <c r="D8" s="53" t="n">
        <v>650</v>
      </c>
      <c r="E8" s="18" t="inlineStr">
        <is>
          <t>Self-Occupied</t>
        </is>
      </c>
      <c r="F8" s="54" t="n">
        <v>0</v>
      </c>
      <c r="G8" s="54" t="n">
        <v>1</v>
      </c>
      <c r="H8" s="31">
        <f>Billing_Settings_Rates!$C$28</f>
        <v/>
      </c>
      <c r="I8" s="31">
        <f>D8*Billing_Settings_Rates!$C$29</f>
        <v/>
      </c>
      <c r="J8" s="31">
        <f>D8*Billing_Settings_Rates!$C$30</f>
        <v/>
      </c>
      <c r="K8" s="31">
        <f>(F8*Billing_Settings_Rates!$C$32)+(G8*Billing_Settings_Rates!$C$33)</f>
        <v/>
      </c>
      <c r="L8" s="22">
        <f>IF(UPPER(TRIM(E8))="RENTED",ROUND(H8*Billing_Settings_Rates!$C$31,0),0)</f>
        <v/>
      </c>
      <c r="M8" s="31">
        <f>Billing_Settings_Rates!$C$34+Billing_Settings_Rates!$C$35+Billing_Settings_Rates!$C$36+Billing_Settings_Rates!$C$37</f>
        <v/>
      </c>
      <c r="N8" s="55">
        <f>SUM(H8:M8)</f>
        <v/>
      </c>
      <c r="O8" s="22" t="n">
        <v>0</v>
      </c>
      <c r="P8" s="31">
        <f>IF(O8&gt;0,ROUND(O8*(Billing_Settings_Rates!$C$38/12),0),0)</f>
        <v/>
      </c>
      <c r="Q8" s="31" t="n">
        <v>0</v>
      </c>
      <c r="R8" s="56">
        <f>N8+O8+P8-Q8</f>
        <v/>
      </c>
      <c r="S8" s="29">
        <f>R8+Billing_Settings_Rates!$C$39</f>
        <v/>
      </c>
    </row>
    <row r="9" ht="20" customHeight="1">
      <c r="A9" s="52" t="inlineStr">
        <is>
          <t>A-104</t>
        </is>
      </c>
      <c r="B9" s="18" t="inlineStr">
        <is>
          <t>A</t>
        </is>
      </c>
      <c r="C9" s="19" t="inlineStr">
        <is>
          <t>Vikas Patil</t>
        </is>
      </c>
      <c r="D9" s="53" t="n">
        <v>1100</v>
      </c>
      <c r="E9" s="57" t="inlineStr">
        <is>
          <t>Rented</t>
        </is>
      </c>
      <c r="F9" s="54" t="n">
        <v>2</v>
      </c>
      <c r="G9" s="54" t="n">
        <v>1</v>
      </c>
      <c r="H9" s="31">
        <f>Billing_Settings_Rates!$C$28</f>
        <v/>
      </c>
      <c r="I9" s="31">
        <f>D9*Billing_Settings_Rates!$C$29</f>
        <v/>
      </c>
      <c r="J9" s="31">
        <f>D9*Billing_Settings_Rates!$C$30</f>
        <v/>
      </c>
      <c r="K9" s="31">
        <f>(F9*Billing_Settings_Rates!$C$32)+(G9*Billing_Settings_Rates!$C$33)</f>
        <v/>
      </c>
      <c r="L9" s="37">
        <f>IF(UPPER(TRIM(E9))="RENTED",ROUND(H9*Billing_Settings_Rates!$C$31,0),0)</f>
        <v/>
      </c>
      <c r="M9" s="31">
        <f>Billing_Settings_Rates!$C$34+Billing_Settings_Rates!$C$35+Billing_Settings_Rates!$C$36+Billing_Settings_Rates!$C$37</f>
        <v/>
      </c>
      <c r="N9" s="55">
        <f>SUM(H9:M9)</f>
        <v/>
      </c>
      <c r="O9" s="58" t="n">
        <v>12000</v>
      </c>
      <c r="P9" s="59">
        <f>IF(O9&gt;0,ROUND(O9*(Billing_Settings_Rates!$C$38/12),0),0)</f>
        <v/>
      </c>
      <c r="Q9" s="31" t="n">
        <v>0</v>
      </c>
      <c r="R9" s="56">
        <f>N9+O9+P9-Q9</f>
        <v/>
      </c>
      <c r="S9" s="29">
        <f>R9+Billing_Settings_Rates!$C$39</f>
        <v/>
      </c>
    </row>
    <row r="10" ht="20" customHeight="1">
      <c r="A10" s="52" t="inlineStr">
        <is>
          <t>A-201</t>
        </is>
      </c>
      <c r="B10" s="18" t="inlineStr">
        <is>
          <t>A</t>
        </is>
      </c>
      <c r="C10" s="19" t="inlineStr">
        <is>
          <t>Neha Kulkarni</t>
        </is>
      </c>
      <c r="D10" s="53" t="n">
        <v>750</v>
      </c>
      <c r="E10" s="18" t="inlineStr">
        <is>
          <t>Self-Occupied</t>
        </is>
      </c>
      <c r="F10" s="54" t="n">
        <v>1</v>
      </c>
      <c r="G10" s="54" t="n">
        <v>1</v>
      </c>
      <c r="H10" s="31">
        <f>Billing_Settings_Rates!$C$28</f>
        <v/>
      </c>
      <c r="I10" s="31">
        <f>D10*Billing_Settings_Rates!$C$29</f>
        <v/>
      </c>
      <c r="J10" s="31">
        <f>D10*Billing_Settings_Rates!$C$30</f>
        <v/>
      </c>
      <c r="K10" s="31">
        <f>(F10*Billing_Settings_Rates!$C$32)+(G10*Billing_Settings_Rates!$C$33)</f>
        <v/>
      </c>
      <c r="L10" s="22">
        <f>IF(UPPER(TRIM(E10))="RENTED",ROUND(H10*Billing_Settings_Rates!$C$31,0),0)</f>
        <v/>
      </c>
      <c r="M10" s="31">
        <f>Billing_Settings_Rates!$C$34+Billing_Settings_Rates!$C$35+Billing_Settings_Rates!$C$36+Billing_Settings_Rates!$C$37</f>
        <v/>
      </c>
      <c r="N10" s="55">
        <f>SUM(H10:M10)</f>
        <v/>
      </c>
      <c r="O10" s="58" t="n">
        <v>2200</v>
      </c>
      <c r="P10" s="59">
        <f>IF(O10&gt;0,ROUND(O10*(Billing_Settings_Rates!$C$38/12),0),0)</f>
        <v/>
      </c>
      <c r="Q10" s="31" t="n">
        <v>0</v>
      </c>
      <c r="R10" s="56">
        <f>N10+O10+P10-Q10</f>
        <v/>
      </c>
      <c r="S10" s="29">
        <f>R10+Billing_Settings_Rates!$C$39</f>
        <v/>
      </c>
    </row>
    <row r="11" ht="20" customHeight="1">
      <c r="A11" s="52" t="inlineStr">
        <is>
          <t>A-202</t>
        </is>
      </c>
      <c r="B11" s="18" t="inlineStr">
        <is>
          <t>A</t>
        </is>
      </c>
      <c r="C11" s="19" t="inlineStr">
        <is>
          <t>Ramesh Joshi</t>
        </is>
      </c>
      <c r="D11" s="53" t="n">
        <v>850</v>
      </c>
      <c r="E11" s="18" t="inlineStr">
        <is>
          <t>Self-Occupied</t>
        </is>
      </c>
      <c r="F11" s="54" t="n">
        <v>1</v>
      </c>
      <c r="G11" s="54" t="n">
        <v>0</v>
      </c>
      <c r="H11" s="31">
        <f>Billing_Settings_Rates!$C$28</f>
        <v/>
      </c>
      <c r="I11" s="31">
        <f>D11*Billing_Settings_Rates!$C$29</f>
        <v/>
      </c>
      <c r="J11" s="31">
        <f>D11*Billing_Settings_Rates!$C$30</f>
        <v/>
      </c>
      <c r="K11" s="31">
        <f>(F11*Billing_Settings_Rates!$C$32)+(G11*Billing_Settings_Rates!$C$33)</f>
        <v/>
      </c>
      <c r="L11" s="22">
        <f>IF(UPPER(TRIM(E11))="RENTED",ROUND(H11*Billing_Settings_Rates!$C$31,0),0)</f>
        <v/>
      </c>
      <c r="M11" s="31">
        <f>Billing_Settings_Rates!$C$34+Billing_Settings_Rates!$C$35+Billing_Settings_Rates!$C$36+Billing_Settings_Rates!$C$37</f>
        <v/>
      </c>
      <c r="N11" s="55">
        <f>SUM(H11:M11)</f>
        <v/>
      </c>
      <c r="O11" s="22" t="n">
        <v>0</v>
      </c>
      <c r="P11" s="31">
        <f>IF(O11&gt;0,ROUND(O11*(Billing_Settings_Rates!$C$38/12),0),0)</f>
        <v/>
      </c>
      <c r="Q11" s="31" t="n">
        <v>0</v>
      </c>
      <c r="R11" s="56">
        <f>N11+O11+P11-Q11</f>
        <v/>
      </c>
      <c r="S11" s="29">
        <f>R11+Billing_Settings_Rates!$C$39</f>
        <v/>
      </c>
    </row>
    <row r="12" ht="20" customHeight="1">
      <c r="A12" s="52" t="inlineStr">
        <is>
          <t>A-203</t>
        </is>
      </c>
      <c r="B12" s="18" t="inlineStr">
        <is>
          <t>A</t>
        </is>
      </c>
      <c r="C12" s="19" t="inlineStr">
        <is>
          <t>Arvind Gupta</t>
        </is>
      </c>
      <c r="D12" s="53" t="n">
        <v>650</v>
      </c>
      <c r="E12" s="57" t="inlineStr">
        <is>
          <t>Rented</t>
        </is>
      </c>
      <c r="F12" s="54" t="n">
        <v>0</v>
      </c>
      <c r="G12" s="54" t="n">
        <v>1</v>
      </c>
      <c r="H12" s="31">
        <f>Billing_Settings_Rates!$C$28</f>
        <v/>
      </c>
      <c r="I12" s="31">
        <f>D12*Billing_Settings_Rates!$C$29</f>
        <v/>
      </c>
      <c r="J12" s="31">
        <f>D12*Billing_Settings_Rates!$C$30</f>
        <v/>
      </c>
      <c r="K12" s="31">
        <f>(F12*Billing_Settings_Rates!$C$32)+(G12*Billing_Settings_Rates!$C$33)</f>
        <v/>
      </c>
      <c r="L12" s="37">
        <f>IF(UPPER(TRIM(E12))="RENTED",ROUND(H12*Billing_Settings_Rates!$C$31,0),0)</f>
        <v/>
      </c>
      <c r="M12" s="31">
        <f>Billing_Settings_Rates!$C$34+Billing_Settings_Rates!$C$35+Billing_Settings_Rates!$C$36+Billing_Settings_Rates!$C$37</f>
        <v/>
      </c>
      <c r="N12" s="55">
        <f>SUM(H12:M12)</f>
        <v/>
      </c>
      <c r="O12" s="58" t="n">
        <v>6800</v>
      </c>
      <c r="P12" s="59">
        <f>IF(O12&gt;0,ROUND(O12*(Billing_Settings_Rates!$C$38/12),0),0)</f>
        <v/>
      </c>
      <c r="Q12" s="31" t="n">
        <v>0</v>
      </c>
      <c r="R12" s="56">
        <f>N12+O12+P12-Q12</f>
        <v/>
      </c>
      <c r="S12" s="29">
        <f>R12+Billing_Settings_Rates!$C$39</f>
        <v/>
      </c>
    </row>
    <row r="13" ht="20" customHeight="1">
      <c r="A13" s="52" t="inlineStr">
        <is>
          <t>A-204</t>
        </is>
      </c>
      <c r="B13" s="18" t="inlineStr">
        <is>
          <t>A</t>
        </is>
      </c>
      <c r="C13" s="19" t="inlineStr">
        <is>
          <t>Sanjay Mehta</t>
        </is>
      </c>
      <c r="D13" s="53" t="n">
        <v>1100</v>
      </c>
      <c r="E13" s="18" t="inlineStr">
        <is>
          <t>Self-Occupied</t>
        </is>
      </c>
      <c r="F13" s="54" t="n">
        <v>2</v>
      </c>
      <c r="G13" s="54" t="n">
        <v>2</v>
      </c>
      <c r="H13" s="31">
        <f>Billing_Settings_Rates!$C$28</f>
        <v/>
      </c>
      <c r="I13" s="31">
        <f>D13*Billing_Settings_Rates!$C$29</f>
        <v/>
      </c>
      <c r="J13" s="31">
        <f>D13*Billing_Settings_Rates!$C$30</f>
        <v/>
      </c>
      <c r="K13" s="31">
        <f>(F13*Billing_Settings_Rates!$C$32)+(G13*Billing_Settings_Rates!$C$33)</f>
        <v/>
      </c>
      <c r="L13" s="22">
        <f>IF(UPPER(TRIM(E13))="RENTED",ROUND(H13*Billing_Settings_Rates!$C$31,0),0)</f>
        <v/>
      </c>
      <c r="M13" s="31">
        <f>Billing_Settings_Rates!$C$34+Billing_Settings_Rates!$C$35+Billing_Settings_Rates!$C$36+Billing_Settings_Rates!$C$37</f>
        <v/>
      </c>
      <c r="N13" s="55">
        <f>SUM(H13:M13)</f>
        <v/>
      </c>
      <c r="O13" s="22" t="n">
        <v>0</v>
      </c>
      <c r="P13" s="31">
        <f>IF(O13&gt;0,ROUND(O13*(Billing_Settings_Rates!$C$38/12),0),0)</f>
        <v/>
      </c>
      <c r="Q13" s="31" t="n">
        <v>0</v>
      </c>
      <c r="R13" s="56">
        <f>N13+O13+P13-Q13</f>
        <v/>
      </c>
      <c r="S13" s="29">
        <f>R13+Billing_Settings_Rates!$C$39</f>
        <v/>
      </c>
    </row>
    <row r="14" ht="20" customHeight="1">
      <c r="A14" s="52" t="inlineStr">
        <is>
          <t>A-301</t>
        </is>
      </c>
      <c r="B14" s="18" t="inlineStr">
        <is>
          <t>A</t>
        </is>
      </c>
      <c r="C14" s="19" t="inlineStr">
        <is>
          <t>Deepa Nair</t>
        </is>
      </c>
      <c r="D14" s="53" t="n">
        <v>750</v>
      </c>
      <c r="E14" s="57" t="inlineStr">
        <is>
          <t>Rented</t>
        </is>
      </c>
      <c r="F14" s="54" t="n">
        <v>1</v>
      </c>
      <c r="G14" s="54" t="n">
        <v>1</v>
      </c>
      <c r="H14" s="31">
        <f>Billing_Settings_Rates!$C$28</f>
        <v/>
      </c>
      <c r="I14" s="31">
        <f>D14*Billing_Settings_Rates!$C$29</f>
        <v/>
      </c>
      <c r="J14" s="31">
        <f>D14*Billing_Settings_Rates!$C$30</f>
        <v/>
      </c>
      <c r="K14" s="31">
        <f>(F14*Billing_Settings_Rates!$C$32)+(G14*Billing_Settings_Rates!$C$33)</f>
        <v/>
      </c>
      <c r="L14" s="37">
        <f>IF(UPPER(TRIM(E14))="RENTED",ROUND(H14*Billing_Settings_Rates!$C$31,0),0)</f>
        <v/>
      </c>
      <c r="M14" s="31">
        <f>Billing_Settings_Rates!$C$34+Billing_Settings_Rates!$C$35+Billing_Settings_Rates!$C$36+Billing_Settings_Rates!$C$37</f>
        <v/>
      </c>
      <c r="N14" s="55">
        <f>SUM(H14:M14)</f>
        <v/>
      </c>
      <c r="O14" s="58" t="n">
        <v>3100</v>
      </c>
      <c r="P14" s="59">
        <f>IF(O14&gt;0,ROUND(O14*(Billing_Settings_Rates!$C$38/12),0),0)</f>
        <v/>
      </c>
      <c r="Q14" s="31" t="n">
        <v>0</v>
      </c>
      <c r="R14" s="56">
        <f>N14+O14+P14-Q14</f>
        <v/>
      </c>
      <c r="S14" s="29">
        <f>R14+Billing_Settings_Rates!$C$39</f>
        <v/>
      </c>
    </row>
    <row r="15" ht="20" customHeight="1">
      <c r="A15" s="52" t="inlineStr">
        <is>
          <t>A-302</t>
        </is>
      </c>
      <c r="B15" s="18" t="inlineStr">
        <is>
          <t>A</t>
        </is>
      </c>
      <c r="C15" s="19" t="inlineStr">
        <is>
          <t>Manoj Shinde</t>
        </is>
      </c>
      <c r="D15" s="53" t="n">
        <v>850</v>
      </c>
      <c r="E15" s="18" t="inlineStr">
        <is>
          <t>Self-Occupied</t>
        </is>
      </c>
      <c r="F15" s="54" t="n">
        <v>1</v>
      </c>
      <c r="G15" s="54" t="n">
        <v>1</v>
      </c>
      <c r="H15" s="31">
        <f>Billing_Settings_Rates!$C$28</f>
        <v/>
      </c>
      <c r="I15" s="31">
        <f>D15*Billing_Settings_Rates!$C$29</f>
        <v/>
      </c>
      <c r="J15" s="31">
        <f>D15*Billing_Settings_Rates!$C$30</f>
        <v/>
      </c>
      <c r="K15" s="31">
        <f>(F15*Billing_Settings_Rates!$C$32)+(G15*Billing_Settings_Rates!$C$33)</f>
        <v/>
      </c>
      <c r="L15" s="22">
        <f>IF(UPPER(TRIM(E15))="RENTED",ROUND(H15*Billing_Settings_Rates!$C$31,0),0)</f>
        <v/>
      </c>
      <c r="M15" s="31">
        <f>Billing_Settings_Rates!$C$34+Billing_Settings_Rates!$C$35+Billing_Settings_Rates!$C$36+Billing_Settings_Rates!$C$37</f>
        <v/>
      </c>
      <c r="N15" s="55">
        <f>SUM(H15:M15)</f>
        <v/>
      </c>
      <c r="O15" s="22" t="n">
        <v>0</v>
      </c>
      <c r="P15" s="31">
        <f>IF(O15&gt;0,ROUND(O15*(Billing_Settings_Rates!$C$38/12),0),0)</f>
        <v/>
      </c>
      <c r="Q15" s="31" t="n">
        <v>0</v>
      </c>
      <c r="R15" s="56">
        <f>N15+O15+P15-Q15</f>
        <v/>
      </c>
      <c r="S15" s="29">
        <f>R15+Billing_Settings_Rates!$C$39</f>
        <v/>
      </c>
    </row>
    <row r="16" ht="20" customHeight="1">
      <c r="A16" s="52" t="inlineStr">
        <is>
          <t>A-303</t>
        </is>
      </c>
      <c r="B16" s="18" t="inlineStr">
        <is>
          <t>A</t>
        </is>
      </c>
      <c r="C16" s="19" t="inlineStr">
        <is>
          <t>Pooja Bhatt</t>
        </is>
      </c>
      <c r="D16" s="53" t="n">
        <v>650</v>
      </c>
      <c r="E16" s="18" t="inlineStr">
        <is>
          <t>Self-Occupied</t>
        </is>
      </c>
      <c r="F16" s="54" t="n">
        <v>0</v>
      </c>
      <c r="G16" s="54" t="n">
        <v>1</v>
      </c>
      <c r="H16" s="31">
        <f>Billing_Settings_Rates!$C$28</f>
        <v/>
      </c>
      <c r="I16" s="31">
        <f>D16*Billing_Settings_Rates!$C$29</f>
        <v/>
      </c>
      <c r="J16" s="31">
        <f>D16*Billing_Settings_Rates!$C$30</f>
        <v/>
      </c>
      <c r="K16" s="31">
        <f>(F16*Billing_Settings_Rates!$C$32)+(G16*Billing_Settings_Rates!$C$33)</f>
        <v/>
      </c>
      <c r="L16" s="22">
        <f>IF(UPPER(TRIM(E16))="RENTED",ROUND(H16*Billing_Settings_Rates!$C$31,0),0)</f>
        <v/>
      </c>
      <c r="M16" s="31">
        <f>Billing_Settings_Rates!$C$34+Billing_Settings_Rates!$C$35+Billing_Settings_Rates!$C$36+Billing_Settings_Rates!$C$37</f>
        <v/>
      </c>
      <c r="N16" s="55">
        <f>SUM(H16:M16)</f>
        <v/>
      </c>
      <c r="O16" s="58" t="n">
        <v>1500</v>
      </c>
      <c r="P16" s="59">
        <f>IF(O16&gt;0,ROUND(O16*(Billing_Settings_Rates!$C$38/12),0),0)</f>
        <v/>
      </c>
      <c r="Q16" s="31" t="n">
        <v>0</v>
      </c>
      <c r="R16" s="56">
        <f>N16+O16+P16-Q16</f>
        <v/>
      </c>
      <c r="S16" s="29">
        <f>R16+Billing_Settings_Rates!$C$39</f>
        <v/>
      </c>
    </row>
    <row r="17" ht="20" customHeight="1">
      <c r="A17" s="52" t="inlineStr">
        <is>
          <t>A-304</t>
        </is>
      </c>
      <c r="B17" s="18" t="inlineStr">
        <is>
          <t>A</t>
        </is>
      </c>
      <c r="C17" s="19" t="inlineStr">
        <is>
          <t>Aniket Kadam</t>
        </is>
      </c>
      <c r="D17" s="53" t="n">
        <v>1100</v>
      </c>
      <c r="E17" s="57" t="inlineStr">
        <is>
          <t>Rented</t>
        </is>
      </c>
      <c r="F17" s="54" t="n">
        <v>1</v>
      </c>
      <c r="G17" s="54" t="n">
        <v>2</v>
      </c>
      <c r="H17" s="31">
        <f>Billing_Settings_Rates!$C$28</f>
        <v/>
      </c>
      <c r="I17" s="31">
        <f>D17*Billing_Settings_Rates!$C$29</f>
        <v/>
      </c>
      <c r="J17" s="31">
        <f>D17*Billing_Settings_Rates!$C$30</f>
        <v/>
      </c>
      <c r="K17" s="31">
        <f>(F17*Billing_Settings_Rates!$C$32)+(G17*Billing_Settings_Rates!$C$33)</f>
        <v/>
      </c>
      <c r="L17" s="37">
        <f>IF(UPPER(TRIM(E17))="RENTED",ROUND(H17*Billing_Settings_Rates!$C$31,0),0)</f>
        <v/>
      </c>
      <c r="M17" s="31">
        <f>Billing_Settings_Rates!$C$34+Billing_Settings_Rates!$C$35+Billing_Settings_Rates!$C$36+Billing_Settings_Rates!$C$37</f>
        <v/>
      </c>
      <c r="N17" s="55">
        <f>SUM(H17:M17)</f>
        <v/>
      </c>
      <c r="O17" s="58" t="n">
        <v>8400</v>
      </c>
      <c r="P17" s="59">
        <f>IF(O17&gt;0,ROUND(O17*(Billing_Settings_Rates!$C$38/12),0),0)</f>
        <v/>
      </c>
      <c r="Q17" s="31" t="n">
        <v>0</v>
      </c>
      <c r="R17" s="56">
        <f>N17+O17+P17-Q17</f>
        <v/>
      </c>
      <c r="S17" s="29">
        <f>R17+Billing_Settings_Rates!$C$39</f>
        <v/>
      </c>
    </row>
    <row r="18" ht="20" customHeight="1">
      <c r="A18" s="52" t="inlineStr">
        <is>
          <t>B-101</t>
        </is>
      </c>
      <c r="B18" s="18" t="inlineStr">
        <is>
          <t>B</t>
        </is>
      </c>
      <c r="C18" s="19" t="inlineStr">
        <is>
          <t>Pradeep Rao</t>
        </is>
      </c>
      <c r="D18" s="53" t="n">
        <v>750</v>
      </c>
      <c r="E18" s="18" t="inlineStr">
        <is>
          <t>Self-Occupied</t>
        </is>
      </c>
      <c r="F18" s="54" t="n">
        <v>1</v>
      </c>
      <c r="G18" s="54" t="n">
        <v>1</v>
      </c>
      <c r="H18" s="31">
        <f>Billing_Settings_Rates!$C$28</f>
        <v/>
      </c>
      <c r="I18" s="31">
        <f>D18*Billing_Settings_Rates!$C$29</f>
        <v/>
      </c>
      <c r="J18" s="31">
        <f>D18*Billing_Settings_Rates!$C$30</f>
        <v/>
      </c>
      <c r="K18" s="31">
        <f>(F18*Billing_Settings_Rates!$C$32)+(G18*Billing_Settings_Rates!$C$33)</f>
        <v/>
      </c>
      <c r="L18" s="22">
        <f>IF(UPPER(TRIM(E18))="RENTED",ROUND(H18*Billing_Settings_Rates!$C$31,0),0)</f>
        <v/>
      </c>
      <c r="M18" s="31">
        <f>Billing_Settings_Rates!$C$34+Billing_Settings_Rates!$C$35+Billing_Settings_Rates!$C$36+Billing_Settings_Rates!$C$37</f>
        <v/>
      </c>
      <c r="N18" s="55">
        <f>SUM(H18:M18)</f>
        <v/>
      </c>
      <c r="O18" s="22" t="n">
        <v>0</v>
      </c>
      <c r="P18" s="31">
        <f>IF(O18&gt;0,ROUND(O18*(Billing_Settings_Rates!$C$38/12),0),0)</f>
        <v/>
      </c>
      <c r="Q18" s="31" t="n">
        <v>0</v>
      </c>
      <c r="R18" s="56">
        <f>N18+O18+P18-Q18</f>
        <v/>
      </c>
      <c r="S18" s="29">
        <f>R18+Billing_Settings_Rates!$C$39</f>
        <v/>
      </c>
    </row>
    <row r="19" ht="20" customHeight="1">
      <c r="A19" s="52" t="inlineStr">
        <is>
          <t>B-102</t>
        </is>
      </c>
      <c r="B19" s="18" t="inlineStr">
        <is>
          <t>B</t>
        </is>
      </c>
      <c r="C19" s="19" t="inlineStr">
        <is>
          <t>Sneha More</t>
        </is>
      </c>
      <c r="D19" s="53" t="n">
        <v>850</v>
      </c>
      <c r="E19" s="57" t="inlineStr">
        <is>
          <t>Rented</t>
        </is>
      </c>
      <c r="F19" s="54" t="n">
        <v>1</v>
      </c>
      <c r="G19" s="54" t="n">
        <v>1</v>
      </c>
      <c r="H19" s="31">
        <f>Billing_Settings_Rates!$C$28</f>
        <v/>
      </c>
      <c r="I19" s="31">
        <f>D19*Billing_Settings_Rates!$C$29</f>
        <v/>
      </c>
      <c r="J19" s="31">
        <f>D19*Billing_Settings_Rates!$C$30</f>
        <v/>
      </c>
      <c r="K19" s="31">
        <f>(F19*Billing_Settings_Rates!$C$32)+(G19*Billing_Settings_Rates!$C$33)</f>
        <v/>
      </c>
      <c r="L19" s="37">
        <f>IF(UPPER(TRIM(E19))="RENTED",ROUND(H19*Billing_Settings_Rates!$C$31,0),0)</f>
        <v/>
      </c>
      <c r="M19" s="31">
        <f>Billing_Settings_Rates!$C$34+Billing_Settings_Rates!$C$35+Billing_Settings_Rates!$C$36+Billing_Settings_Rates!$C$37</f>
        <v/>
      </c>
      <c r="N19" s="55">
        <f>SUM(H19:M19)</f>
        <v/>
      </c>
      <c r="O19" s="58" t="n">
        <v>5000</v>
      </c>
      <c r="P19" s="59">
        <f>IF(O19&gt;0,ROUND(O19*(Billing_Settings_Rates!$C$38/12),0),0)</f>
        <v/>
      </c>
      <c r="Q19" s="31" t="n">
        <v>0</v>
      </c>
      <c r="R19" s="56">
        <f>N19+O19+P19-Q19</f>
        <v/>
      </c>
      <c r="S19" s="29">
        <f>R19+Billing_Settings_Rates!$C$39</f>
        <v/>
      </c>
    </row>
    <row r="20" ht="20" customHeight="1">
      <c r="A20" s="52" t="inlineStr">
        <is>
          <t>B-103</t>
        </is>
      </c>
      <c r="B20" s="18" t="inlineStr">
        <is>
          <t>B</t>
        </is>
      </c>
      <c r="C20" s="19" t="inlineStr">
        <is>
          <t>Ashok Jadhav</t>
        </is>
      </c>
      <c r="D20" s="53" t="n">
        <v>650</v>
      </c>
      <c r="E20" s="18" t="inlineStr">
        <is>
          <t>Self-Occupied</t>
        </is>
      </c>
      <c r="F20" s="54" t="n">
        <v>0</v>
      </c>
      <c r="G20" s="54" t="n">
        <v>1</v>
      </c>
      <c r="H20" s="31">
        <f>Billing_Settings_Rates!$C$28</f>
        <v/>
      </c>
      <c r="I20" s="31">
        <f>D20*Billing_Settings_Rates!$C$29</f>
        <v/>
      </c>
      <c r="J20" s="31">
        <f>D20*Billing_Settings_Rates!$C$30</f>
        <v/>
      </c>
      <c r="K20" s="31">
        <f>(F20*Billing_Settings_Rates!$C$32)+(G20*Billing_Settings_Rates!$C$33)</f>
        <v/>
      </c>
      <c r="L20" s="22">
        <f>IF(UPPER(TRIM(E20))="RENTED",ROUND(H20*Billing_Settings_Rates!$C$31,0),0)</f>
        <v/>
      </c>
      <c r="M20" s="31">
        <f>Billing_Settings_Rates!$C$34+Billing_Settings_Rates!$C$35+Billing_Settings_Rates!$C$36+Billing_Settings_Rates!$C$37</f>
        <v/>
      </c>
      <c r="N20" s="55">
        <f>SUM(H20:M20)</f>
        <v/>
      </c>
      <c r="O20" s="22" t="n">
        <v>0</v>
      </c>
      <c r="P20" s="31">
        <f>IF(O20&gt;0,ROUND(O20*(Billing_Settings_Rates!$C$38/12),0),0)</f>
        <v/>
      </c>
      <c r="Q20" s="31" t="n">
        <v>0</v>
      </c>
      <c r="R20" s="56">
        <f>N20+O20+P20-Q20</f>
        <v/>
      </c>
      <c r="S20" s="29">
        <f>R20+Billing_Settings_Rates!$C$39</f>
        <v/>
      </c>
    </row>
    <row r="21" ht="20" customHeight="1">
      <c r="A21" s="52" t="inlineStr">
        <is>
          <t>B-104</t>
        </is>
      </c>
      <c r="B21" s="18" t="inlineStr">
        <is>
          <t>B</t>
        </is>
      </c>
      <c r="C21" s="19" t="inlineStr">
        <is>
          <t>Tanvi Sawant</t>
        </is>
      </c>
      <c r="D21" s="53" t="n">
        <v>1100</v>
      </c>
      <c r="E21" s="18" t="inlineStr">
        <is>
          <t>Self-Occupied</t>
        </is>
      </c>
      <c r="F21" s="54" t="n">
        <v>2</v>
      </c>
      <c r="G21" s="54" t="n">
        <v>1</v>
      </c>
      <c r="H21" s="31">
        <f>Billing_Settings_Rates!$C$28</f>
        <v/>
      </c>
      <c r="I21" s="31">
        <f>D21*Billing_Settings_Rates!$C$29</f>
        <v/>
      </c>
      <c r="J21" s="31">
        <f>D21*Billing_Settings_Rates!$C$30</f>
        <v/>
      </c>
      <c r="K21" s="31">
        <f>(F21*Billing_Settings_Rates!$C$32)+(G21*Billing_Settings_Rates!$C$33)</f>
        <v/>
      </c>
      <c r="L21" s="22">
        <f>IF(UPPER(TRIM(E21))="RENTED",ROUND(H21*Billing_Settings_Rates!$C$31,0),0)</f>
        <v/>
      </c>
      <c r="M21" s="31">
        <f>Billing_Settings_Rates!$C$34+Billing_Settings_Rates!$C$35+Billing_Settings_Rates!$C$36+Billing_Settings_Rates!$C$37</f>
        <v/>
      </c>
      <c r="N21" s="55">
        <f>SUM(H21:M21)</f>
        <v/>
      </c>
      <c r="O21" s="22" t="n">
        <v>0</v>
      </c>
      <c r="P21" s="31">
        <f>IF(O21&gt;0,ROUND(O21*(Billing_Settings_Rates!$C$38/12),0),0)</f>
        <v/>
      </c>
      <c r="Q21" s="31" t="n">
        <v>0</v>
      </c>
      <c r="R21" s="56">
        <f>N21+O21+P21-Q21</f>
        <v/>
      </c>
      <c r="S21" s="29">
        <f>R21+Billing_Settings_Rates!$C$39</f>
        <v/>
      </c>
    </row>
    <row r="22" ht="20" customHeight="1">
      <c r="A22" s="52" t="inlineStr">
        <is>
          <t>B-201</t>
        </is>
      </c>
      <c r="B22" s="18" t="inlineStr">
        <is>
          <t>B</t>
        </is>
      </c>
      <c r="C22" s="19" t="inlineStr">
        <is>
          <t>Suresh Gaikwad</t>
        </is>
      </c>
      <c r="D22" s="53" t="n">
        <v>750</v>
      </c>
      <c r="E22" s="57" t="inlineStr">
        <is>
          <t>Rented</t>
        </is>
      </c>
      <c r="F22" s="54" t="n">
        <v>1</v>
      </c>
      <c r="G22" s="54" t="n">
        <v>1</v>
      </c>
      <c r="H22" s="31">
        <f>Billing_Settings_Rates!$C$28</f>
        <v/>
      </c>
      <c r="I22" s="31">
        <f>D22*Billing_Settings_Rates!$C$29</f>
        <v/>
      </c>
      <c r="J22" s="31">
        <f>D22*Billing_Settings_Rates!$C$30</f>
        <v/>
      </c>
      <c r="K22" s="31">
        <f>(F22*Billing_Settings_Rates!$C$32)+(G22*Billing_Settings_Rates!$C$33)</f>
        <v/>
      </c>
      <c r="L22" s="37">
        <f>IF(UPPER(TRIM(E22))="RENTED",ROUND(H22*Billing_Settings_Rates!$C$31,0),0)</f>
        <v/>
      </c>
      <c r="M22" s="31">
        <f>Billing_Settings_Rates!$C$34+Billing_Settings_Rates!$C$35+Billing_Settings_Rates!$C$36+Billing_Settings_Rates!$C$37</f>
        <v/>
      </c>
      <c r="N22" s="55">
        <f>SUM(H22:M22)</f>
        <v/>
      </c>
      <c r="O22" s="58" t="n">
        <v>7500</v>
      </c>
      <c r="P22" s="59">
        <f>IF(O22&gt;0,ROUND(O22*(Billing_Settings_Rates!$C$38/12),0),0)</f>
        <v/>
      </c>
      <c r="Q22" s="31" t="n">
        <v>0</v>
      </c>
      <c r="R22" s="56">
        <f>N22+O22+P22-Q22</f>
        <v/>
      </c>
      <c r="S22" s="29">
        <f>R22+Billing_Settings_Rates!$C$39</f>
        <v/>
      </c>
    </row>
    <row r="23" ht="20" customHeight="1">
      <c r="A23" s="52" t="inlineStr">
        <is>
          <t>B-202</t>
        </is>
      </c>
      <c r="B23" s="18" t="inlineStr">
        <is>
          <t>B</t>
        </is>
      </c>
      <c r="C23" s="19" t="inlineStr">
        <is>
          <t>Vandana Bhosle</t>
        </is>
      </c>
      <c r="D23" s="53" t="n">
        <v>850</v>
      </c>
      <c r="E23" s="18" t="inlineStr">
        <is>
          <t>Self-Occupied</t>
        </is>
      </c>
      <c r="F23" s="54" t="n">
        <v>1</v>
      </c>
      <c r="G23" s="54" t="n">
        <v>1</v>
      </c>
      <c r="H23" s="31">
        <f>Billing_Settings_Rates!$C$28</f>
        <v/>
      </c>
      <c r="I23" s="31">
        <f>D23*Billing_Settings_Rates!$C$29</f>
        <v/>
      </c>
      <c r="J23" s="31">
        <f>D23*Billing_Settings_Rates!$C$30</f>
        <v/>
      </c>
      <c r="K23" s="31">
        <f>(F23*Billing_Settings_Rates!$C$32)+(G23*Billing_Settings_Rates!$C$33)</f>
        <v/>
      </c>
      <c r="L23" s="22">
        <f>IF(UPPER(TRIM(E23))="RENTED",ROUND(H23*Billing_Settings_Rates!$C$31,0),0)</f>
        <v/>
      </c>
      <c r="M23" s="31">
        <f>Billing_Settings_Rates!$C$34+Billing_Settings_Rates!$C$35+Billing_Settings_Rates!$C$36+Billing_Settings_Rates!$C$37</f>
        <v/>
      </c>
      <c r="N23" s="55">
        <f>SUM(H23:M23)</f>
        <v/>
      </c>
      <c r="O23" s="22" t="n">
        <v>0</v>
      </c>
      <c r="P23" s="31">
        <f>IF(O23&gt;0,ROUND(O23*(Billing_Settings_Rates!$C$38/12),0),0)</f>
        <v/>
      </c>
      <c r="Q23" s="31" t="n">
        <v>0</v>
      </c>
      <c r="R23" s="56">
        <f>N23+O23+P23-Q23</f>
        <v/>
      </c>
      <c r="S23" s="29">
        <f>R23+Billing_Settings_Rates!$C$39</f>
        <v/>
      </c>
    </row>
    <row r="24" ht="20" customHeight="1">
      <c r="A24" s="52" t="inlineStr">
        <is>
          <t>B-203</t>
        </is>
      </c>
      <c r="B24" s="18" t="inlineStr">
        <is>
          <t>B</t>
        </is>
      </c>
      <c r="C24" s="19" t="inlineStr">
        <is>
          <t>Mahesh Mane</t>
        </is>
      </c>
      <c r="D24" s="53" t="n">
        <v>650</v>
      </c>
      <c r="E24" s="18" t="inlineStr">
        <is>
          <t>Self-Occupied</t>
        </is>
      </c>
      <c r="F24" s="54" t="n">
        <v>0</v>
      </c>
      <c r="G24" s="54" t="n">
        <v>1</v>
      </c>
      <c r="H24" s="31">
        <f>Billing_Settings_Rates!$C$28</f>
        <v/>
      </c>
      <c r="I24" s="31">
        <f>D24*Billing_Settings_Rates!$C$29</f>
        <v/>
      </c>
      <c r="J24" s="31">
        <f>D24*Billing_Settings_Rates!$C$30</f>
        <v/>
      </c>
      <c r="K24" s="31">
        <f>(F24*Billing_Settings_Rates!$C$32)+(G24*Billing_Settings_Rates!$C$33)</f>
        <v/>
      </c>
      <c r="L24" s="22">
        <f>IF(UPPER(TRIM(E24))="RENTED",ROUND(H24*Billing_Settings_Rates!$C$31,0),0)</f>
        <v/>
      </c>
      <c r="M24" s="31">
        <f>Billing_Settings_Rates!$C$34+Billing_Settings_Rates!$C$35+Billing_Settings_Rates!$C$36+Billing_Settings_Rates!$C$37</f>
        <v/>
      </c>
      <c r="N24" s="55">
        <f>SUM(H24:M24)</f>
        <v/>
      </c>
      <c r="O24" s="22" t="n">
        <v>0</v>
      </c>
      <c r="P24" s="31">
        <f>IF(O24&gt;0,ROUND(O24*(Billing_Settings_Rates!$C$38/12),0),0)</f>
        <v/>
      </c>
      <c r="Q24" s="31" t="n">
        <v>0</v>
      </c>
      <c r="R24" s="56">
        <f>N24+O24+P24-Q24</f>
        <v/>
      </c>
      <c r="S24" s="29">
        <f>R24+Billing_Settings_Rates!$C$39</f>
        <v/>
      </c>
    </row>
    <row r="25" ht="20" customHeight="1">
      <c r="A25" s="52" t="inlineStr">
        <is>
          <t>B-204</t>
        </is>
      </c>
      <c r="B25" s="18" t="inlineStr">
        <is>
          <t>B</t>
        </is>
      </c>
      <c r="C25" s="19" t="inlineStr">
        <is>
          <t>Nitin Salunkhe</t>
        </is>
      </c>
      <c r="D25" s="53" t="n">
        <v>1100</v>
      </c>
      <c r="E25" s="57" t="inlineStr">
        <is>
          <t>Rented</t>
        </is>
      </c>
      <c r="F25" s="54" t="n">
        <v>2</v>
      </c>
      <c r="G25" s="54" t="n">
        <v>2</v>
      </c>
      <c r="H25" s="31">
        <f>Billing_Settings_Rates!$C$28</f>
        <v/>
      </c>
      <c r="I25" s="31">
        <f>D25*Billing_Settings_Rates!$C$29</f>
        <v/>
      </c>
      <c r="J25" s="31">
        <f>D25*Billing_Settings_Rates!$C$30</f>
        <v/>
      </c>
      <c r="K25" s="31">
        <f>(F25*Billing_Settings_Rates!$C$32)+(G25*Billing_Settings_Rates!$C$33)</f>
        <v/>
      </c>
      <c r="L25" s="37">
        <f>IF(UPPER(TRIM(E25))="RENTED",ROUND(H25*Billing_Settings_Rates!$C$31,0),0)</f>
        <v/>
      </c>
      <c r="M25" s="31">
        <f>Billing_Settings_Rates!$C$34+Billing_Settings_Rates!$C$35+Billing_Settings_Rates!$C$36+Billing_Settings_Rates!$C$37</f>
        <v/>
      </c>
      <c r="N25" s="55">
        <f>SUM(H25:M25)</f>
        <v/>
      </c>
      <c r="O25" s="58" t="n">
        <v>15000</v>
      </c>
      <c r="P25" s="59">
        <f>IF(O25&gt;0,ROUND(O25*(Billing_Settings_Rates!$C$38/12),0),0)</f>
        <v/>
      </c>
      <c r="Q25" s="31" t="n">
        <v>0</v>
      </c>
      <c r="R25" s="56">
        <f>N25+O25+P25-Q25</f>
        <v/>
      </c>
      <c r="S25" s="29">
        <f>R25+Billing_Settings_Rates!$C$39</f>
        <v/>
      </c>
    </row>
    <row r="26" ht="20" customHeight="1">
      <c r="A26" s="52" t="inlineStr">
        <is>
          <t>B-301</t>
        </is>
      </c>
      <c r="B26" s="18" t="inlineStr">
        <is>
          <t>B</t>
        </is>
      </c>
      <c r="C26" s="19" t="inlineStr">
        <is>
          <t>Kiran Pawar</t>
        </is>
      </c>
      <c r="D26" s="53" t="n">
        <v>750</v>
      </c>
      <c r="E26" s="18" t="inlineStr">
        <is>
          <t>Self-Occupied</t>
        </is>
      </c>
      <c r="F26" s="54" t="n">
        <v>1</v>
      </c>
      <c r="G26" s="54" t="n">
        <v>1</v>
      </c>
      <c r="H26" s="31">
        <f>Billing_Settings_Rates!$C$28</f>
        <v/>
      </c>
      <c r="I26" s="31">
        <f>D26*Billing_Settings_Rates!$C$29</f>
        <v/>
      </c>
      <c r="J26" s="31">
        <f>D26*Billing_Settings_Rates!$C$30</f>
        <v/>
      </c>
      <c r="K26" s="31">
        <f>(F26*Billing_Settings_Rates!$C$32)+(G26*Billing_Settings_Rates!$C$33)</f>
        <v/>
      </c>
      <c r="L26" s="22">
        <f>IF(UPPER(TRIM(E26))="RENTED",ROUND(H26*Billing_Settings_Rates!$C$31,0),0)</f>
        <v/>
      </c>
      <c r="M26" s="31">
        <f>Billing_Settings_Rates!$C$34+Billing_Settings_Rates!$C$35+Billing_Settings_Rates!$C$36+Billing_Settings_Rates!$C$37</f>
        <v/>
      </c>
      <c r="N26" s="55">
        <f>SUM(H26:M26)</f>
        <v/>
      </c>
      <c r="O26" s="22" t="n">
        <v>0</v>
      </c>
      <c r="P26" s="31">
        <f>IF(O26&gt;0,ROUND(O26*(Billing_Settings_Rates!$C$38/12),0),0)</f>
        <v/>
      </c>
      <c r="Q26" s="31" t="n">
        <v>0</v>
      </c>
      <c r="R26" s="56">
        <f>N26+O26+P26-Q26</f>
        <v/>
      </c>
      <c r="S26" s="29">
        <f>R26+Billing_Settings_Rates!$C$39</f>
        <v/>
      </c>
    </row>
    <row r="27" ht="20" customHeight="1">
      <c r="A27" s="52" t="inlineStr">
        <is>
          <t>B-302</t>
        </is>
      </c>
      <c r="B27" s="18" t="inlineStr">
        <is>
          <t>B</t>
        </is>
      </c>
      <c r="C27" s="19" t="inlineStr">
        <is>
          <t>Meena Kamble</t>
        </is>
      </c>
      <c r="D27" s="53" t="n">
        <v>850</v>
      </c>
      <c r="E27" s="57" t="inlineStr">
        <is>
          <t>Rented</t>
        </is>
      </c>
      <c r="F27" s="54" t="n">
        <v>1</v>
      </c>
      <c r="G27" s="54" t="n">
        <v>0</v>
      </c>
      <c r="H27" s="31">
        <f>Billing_Settings_Rates!$C$28</f>
        <v/>
      </c>
      <c r="I27" s="31">
        <f>D27*Billing_Settings_Rates!$C$29</f>
        <v/>
      </c>
      <c r="J27" s="31">
        <f>D27*Billing_Settings_Rates!$C$30</f>
        <v/>
      </c>
      <c r="K27" s="31">
        <f>(F27*Billing_Settings_Rates!$C$32)+(G27*Billing_Settings_Rates!$C$33)</f>
        <v/>
      </c>
      <c r="L27" s="37">
        <f>IF(UPPER(TRIM(E27))="RENTED",ROUND(H27*Billing_Settings_Rates!$C$31,0),0)</f>
        <v/>
      </c>
      <c r="M27" s="31">
        <f>Billing_Settings_Rates!$C$34+Billing_Settings_Rates!$C$35+Billing_Settings_Rates!$C$36+Billing_Settings_Rates!$C$37</f>
        <v/>
      </c>
      <c r="N27" s="55">
        <f>SUM(H27:M27)</f>
        <v/>
      </c>
      <c r="O27" s="58" t="n">
        <v>2800</v>
      </c>
      <c r="P27" s="59">
        <f>IF(O27&gt;0,ROUND(O27*(Billing_Settings_Rates!$C$38/12),0),0)</f>
        <v/>
      </c>
      <c r="Q27" s="31" t="n">
        <v>0</v>
      </c>
      <c r="R27" s="56">
        <f>N27+O27+P27-Q27</f>
        <v/>
      </c>
      <c r="S27" s="29">
        <f>R27+Billing_Settings_Rates!$C$39</f>
        <v/>
      </c>
    </row>
    <row r="28" ht="20" customHeight="1">
      <c r="A28" s="52" t="inlineStr">
        <is>
          <t>B-303</t>
        </is>
      </c>
      <c r="B28" s="18" t="inlineStr">
        <is>
          <t>B</t>
        </is>
      </c>
      <c r="C28" s="19" t="inlineStr">
        <is>
          <t>Santosh Thorat</t>
        </is>
      </c>
      <c r="D28" s="53" t="n">
        <v>650</v>
      </c>
      <c r="E28" s="18" t="inlineStr">
        <is>
          <t>Self-Occupied</t>
        </is>
      </c>
      <c r="F28" s="54" t="n">
        <v>0</v>
      </c>
      <c r="G28" s="54" t="n">
        <v>1</v>
      </c>
      <c r="H28" s="31">
        <f>Billing_Settings_Rates!$C$28</f>
        <v/>
      </c>
      <c r="I28" s="31">
        <f>D28*Billing_Settings_Rates!$C$29</f>
        <v/>
      </c>
      <c r="J28" s="31">
        <f>D28*Billing_Settings_Rates!$C$30</f>
        <v/>
      </c>
      <c r="K28" s="31">
        <f>(F28*Billing_Settings_Rates!$C$32)+(G28*Billing_Settings_Rates!$C$33)</f>
        <v/>
      </c>
      <c r="L28" s="22">
        <f>IF(UPPER(TRIM(E28))="RENTED",ROUND(H28*Billing_Settings_Rates!$C$31,0),0)</f>
        <v/>
      </c>
      <c r="M28" s="31">
        <f>Billing_Settings_Rates!$C$34+Billing_Settings_Rates!$C$35+Billing_Settings_Rates!$C$36+Billing_Settings_Rates!$C$37</f>
        <v/>
      </c>
      <c r="N28" s="55">
        <f>SUM(H28:M28)</f>
        <v/>
      </c>
      <c r="O28" s="22" t="n">
        <v>0</v>
      </c>
      <c r="P28" s="31">
        <f>IF(O28&gt;0,ROUND(O28*(Billing_Settings_Rates!$C$38/12),0),0)</f>
        <v/>
      </c>
      <c r="Q28" s="31" t="n">
        <v>0</v>
      </c>
      <c r="R28" s="56">
        <f>N28+O28+P28-Q28</f>
        <v/>
      </c>
      <c r="S28" s="29">
        <f>R28+Billing_Settings_Rates!$C$39</f>
        <v/>
      </c>
    </row>
    <row r="29" ht="20" customHeight="1">
      <c r="A29" s="52" t="inlineStr">
        <is>
          <t>B-304</t>
        </is>
      </c>
      <c r="B29" s="18" t="inlineStr">
        <is>
          <t>B</t>
        </is>
      </c>
      <c r="C29" s="19" t="inlineStr">
        <is>
          <t>Dilip Chavan</t>
        </is>
      </c>
      <c r="D29" s="53" t="n">
        <v>1100</v>
      </c>
      <c r="E29" s="18" t="inlineStr">
        <is>
          <t>Self-Occupied</t>
        </is>
      </c>
      <c r="F29" s="54" t="n">
        <v>2</v>
      </c>
      <c r="G29" s="54" t="n">
        <v>1</v>
      </c>
      <c r="H29" s="31">
        <f>Billing_Settings_Rates!$C$28</f>
        <v/>
      </c>
      <c r="I29" s="31">
        <f>D29*Billing_Settings_Rates!$C$29</f>
        <v/>
      </c>
      <c r="J29" s="31">
        <f>D29*Billing_Settings_Rates!$C$30</f>
        <v/>
      </c>
      <c r="K29" s="31">
        <f>(F29*Billing_Settings_Rates!$C$32)+(G29*Billing_Settings_Rates!$C$33)</f>
        <v/>
      </c>
      <c r="L29" s="22">
        <f>IF(UPPER(TRIM(E29))="RENTED",ROUND(H29*Billing_Settings_Rates!$C$31,0),0)</f>
        <v/>
      </c>
      <c r="M29" s="31">
        <f>Billing_Settings_Rates!$C$34+Billing_Settings_Rates!$C$35+Billing_Settings_Rates!$C$36+Billing_Settings_Rates!$C$37</f>
        <v/>
      </c>
      <c r="N29" s="55">
        <f>SUM(H29:M29)</f>
        <v/>
      </c>
      <c r="O29" s="22" t="n">
        <v>0</v>
      </c>
      <c r="P29" s="31">
        <f>IF(O29&gt;0,ROUND(O29*(Billing_Settings_Rates!$C$38/12),0),0)</f>
        <v/>
      </c>
      <c r="Q29" s="31" t="n">
        <v>0</v>
      </c>
      <c r="R29" s="56">
        <f>N29+O29+P29-Q29</f>
        <v/>
      </c>
      <c r="S29" s="29">
        <f>R29+Billing_Settings_Rates!$C$39</f>
        <v/>
      </c>
    </row>
    <row r="30" ht="26" customHeight="1">
      <c r="A30" s="60" t="inlineStr">
        <is>
          <t>TOTAL</t>
        </is>
      </c>
      <c r="B30" s="61" t="n"/>
      <c r="C30" s="61" t="n"/>
      <c r="D30" s="62">
        <f>SUM(D6:D29)</f>
        <v/>
      </c>
      <c r="E30" s="61" t="n"/>
      <c r="F30" s="63">
        <f>SUM(F6:F29)</f>
        <v/>
      </c>
      <c r="G30" s="63">
        <f>SUM(G6:G29)</f>
        <v/>
      </c>
      <c r="H30" s="64">
        <f>SUM(H6:H29)</f>
        <v/>
      </c>
      <c r="I30" s="64">
        <f>SUM(I6:I29)</f>
        <v/>
      </c>
      <c r="J30" s="64">
        <f>SUM(J6:J29)</f>
        <v/>
      </c>
      <c r="K30" s="64">
        <f>SUM(K6:K29)</f>
        <v/>
      </c>
      <c r="L30" s="64">
        <f>SUM(L6:L29)</f>
        <v/>
      </c>
      <c r="M30" s="64">
        <f>SUM(M6:M29)</f>
        <v/>
      </c>
      <c r="N30" s="64">
        <f>SUM(N6:N29)</f>
        <v/>
      </c>
      <c r="O30" s="64">
        <f>SUM(O6:O29)</f>
        <v/>
      </c>
      <c r="P30" s="64">
        <f>SUM(P6:P29)</f>
        <v/>
      </c>
      <c r="Q30" s="64">
        <f>SUM(Q6:Q29)</f>
        <v/>
      </c>
      <c r="R30" s="64">
        <f>SUM(R6:R29)</f>
        <v/>
      </c>
      <c r="S30" s="64">
        <f>SUM(S6:S29)</f>
        <v/>
      </c>
    </row>
  </sheetData>
  <mergeCells count="3">
    <mergeCell ref="A3:S3"/>
    <mergeCell ref="A2:S2"/>
    <mergeCell ref="A30:C30"/>
  </mergeCells>
  <dataValidations count="1">
    <dataValidation sqref="E6:E29" showDropDown="0" showInputMessage="0" showErrorMessage="0" allowBlank="0" errorTitle="Invalid Occupancy Status" error="Your entry is not in the list" promptTitle="Occupancy Status" prompt="Please select from the list" type="list">
      <formula1>"Self-Occupied,Rented"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E14"/>
  <sheetViews>
    <sheetView showGridLines="1" workbookViewId="0">
      <selection activeCell="A1" sqref="A1"/>
    </sheetView>
  </sheetViews>
  <sheetFormatPr baseColWidth="8" defaultRowHeight="15" outlineLevelCol="0"/>
  <cols>
    <col width="6" customWidth="1" min="1" max="1"/>
    <col width="28" customWidth="1" min="2" max="2"/>
    <col width="20" customWidth="1" min="3" max="3"/>
    <col width="45" customWidth="1" min="4" max="4"/>
    <col width="50" customWidth="1" min="5" max="5"/>
  </cols>
  <sheetData>
    <row r="2" ht="36" customHeight="1">
      <c r="A2" s="43" t="inlineStr">
        <is>
          <t>HOUSING SOCIETY BILLING GUIDELINES - MAHARASHTRA CO-OPERATIVE SOCIETIES ACT</t>
        </is>
      </c>
    </row>
    <row r="3">
      <c r="A3" s="44" t="inlineStr">
        <is>
          <t>Statutory provisions and legal rules governing Housing Society maintenance calculation as per Model Bye-laws 2014 &amp; Government Circulars.</t>
        </is>
      </c>
    </row>
    <row r="5" ht="25" customHeight="1">
      <c r="A5" s="15" t="inlineStr">
        <is>
          <t>Sr.</t>
        </is>
      </c>
      <c r="B5" s="16" t="inlineStr">
        <is>
          <t>Charge Component</t>
        </is>
      </c>
      <c r="C5" s="16" t="inlineStr">
        <is>
          <t>Model Bye-Law</t>
        </is>
      </c>
      <c r="D5" s="16" t="inlineStr">
        <is>
          <t>Statutory Rule &amp; Formula</t>
        </is>
      </c>
      <c r="E5" s="16" t="inlineStr">
        <is>
          <t>Legal Guidance &amp; Court Precedents</t>
        </is>
      </c>
    </row>
    <row r="6" ht="42" customHeight="1">
      <c r="A6" s="52" t="n">
        <v>1</v>
      </c>
      <c r="B6" s="19" t="inlineStr">
        <is>
          <t>Service Charges</t>
        </is>
      </c>
      <c r="C6" s="21" t="inlineStr">
        <is>
          <t>Bye-law 67(a)(vii)</t>
        </is>
      </c>
      <c r="D6" s="65" t="inlineStr">
        <is>
          <t>Equally divided among all members irrespective of flat size.</t>
        </is>
      </c>
      <c r="E6" s="66" t="inlineStr">
        <is>
          <t>Covers security, cleaning staff, manager salary, conveyance, stationary, audit fees. Area-based charging is strictly illegal.</t>
        </is>
      </c>
    </row>
    <row r="7" ht="42" customHeight="1">
      <c r="A7" s="52" t="n">
        <v>2</v>
      </c>
      <c r="B7" s="19" t="inlineStr">
        <is>
          <t>Sinking Fund</t>
        </is>
      </c>
      <c r="C7" s="21" t="inlineStr">
        <is>
          <t>Bye-law 67(a)(iii)</t>
        </is>
      </c>
      <c r="D7" s="65" t="inlineStr">
        <is>
          <t>Minimum 0.25% per annum of construction cost (excluding cost of land).</t>
        </is>
      </c>
      <c r="E7" s="66" t="inlineStr">
        <is>
          <t>Calculated on carpet area basis. Sinking fund creates a long-term capital reserve for building reconstruction.</t>
        </is>
      </c>
    </row>
    <row r="8" ht="42" customHeight="1">
      <c r="A8" s="52" t="n">
        <v>3</v>
      </c>
      <c r="B8" s="19" t="inlineStr">
        <is>
          <t>Repair &amp; Maintenance Fund</t>
        </is>
      </c>
      <c r="C8" s="21" t="inlineStr">
        <is>
          <t>Bye-law 67(a)(ii)</t>
        </is>
      </c>
      <c r="D8" s="65" t="inlineStr">
        <is>
          <t>Minimum 0.75% per annum of construction cost (excluding cost of land).</t>
        </is>
      </c>
      <c r="E8" s="66" t="inlineStr">
        <is>
          <t>Calculated on carpet area basis as resolved in the AGM. Used for periodic painting, structural repairs, waterproofing.</t>
        </is>
      </c>
    </row>
    <row r="9" ht="42" customHeight="1">
      <c r="A9" s="52" t="n">
        <v>4</v>
      </c>
      <c r="B9" s="19" t="inlineStr">
        <is>
          <t>Non-Occupancy Charges (NOC)</t>
        </is>
      </c>
      <c r="C9" s="21" t="inlineStr">
        <is>
          <t>Sec 79A / Bye-law 43(2)(c)</t>
        </is>
      </c>
      <c r="D9" s="67" t="inlineStr">
        <is>
          <t>STRICTLY CAPPED at 10% of Service Charges only.</t>
        </is>
      </c>
      <c r="E9" s="66" t="inlineStr">
        <is>
          <t>Government Order dated 09/08/2001 under Section 79A. Societies cannot levy NOC on municipal taxes, sinking, repair, or parking charges. Self-occupied or occupied by family members attracts ₹0 NOC.</t>
        </is>
      </c>
    </row>
    <row r="10" ht="42" customHeight="1">
      <c r="A10" s="52" t="n">
        <v>5</v>
      </c>
      <c r="B10" s="19" t="inlineStr">
        <is>
          <t>Parking Charges</t>
        </is>
      </c>
      <c r="C10" s="21" t="inlineStr">
        <is>
          <t>Bye-law 67(a)(vi)</t>
        </is>
      </c>
      <c r="D10" s="68" t="inlineStr">
        <is>
          <t>As fixed by General Body for two-wheelers and four-wheelers.</t>
        </is>
      </c>
      <c r="E10" s="66" t="inlineStr">
        <is>
          <t>Applicable to members who are allotted open, stilt, or basement parking slots.</t>
        </is>
      </c>
    </row>
    <row r="11" ht="42" customHeight="1">
      <c r="A11" s="52" t="n">
        <v>6</v>
      </c>
      <c r="B11" s="19" t="inlineStr">
        <is>
          <t>Interest on Overdue Arrears</t>
        </is>
      </c>
      <c r="C11" s="21" t="inlineStr">
        <is>
          <t>Bye-law 68</t>
        </is>
      </c>
      <c r="D11" s="65" t="inlineStr">
        <is>
          <t>Simple interest at a rate not exceeding 21% per annum.</t>
        </is>
      </c>
      <c r="E11" s="66" t="inlineStr">
        <is>
          <t>Interest cannot be compounded (interest on interest is prohibited). Charged only on overdue principal arrears after the due date.</t>
        </is>
      </c>
    </row>
    <row r="12" ht="42" customHeight="1">
      <c r="A12" s="52" t="n">
        <v>7</v>
      </c>
      <c r="B12" s="19" t="inlineStr">
        <is>
          <t>Water &amp; Pumping Charges</t>
        </is>
      </c>
      <c r="C12" s="21" t="inlineStr">
        <is>
          <t>Bye-law 67(a)(i)</t>
        </is>
      </c>
      <c r="D12" s="68" t="inlineStr">
        <is>
          <t>As per consumption or fixed equal charge per unit.</t>
        </is>
      </c>
      <c r="E12" s="66" t="inlineStr">
        <is>
          <t>Covers water purchase from municipal corporation / tankers and pump room power consumption.</t>
        </is>
      </c>
    </row>
    <row r="13" ht="42" customHeight="1">
      <c r="A13" s="52" t="n">
        <v>8</v>
      </c>
      <c r="B13" s="19" t="inlineStr">
        <is>
          <t>Lift AMC &amp; Inspection</t>
        </is>
      </c>
      <c r="C13" s="21" t="inlineStr">
        <is>
          <t>Bye-law 67(a)(iv)</t>
        </is>
      </c>
      <c r="D13" s="68" t="inlineStr">
        <is>
          <t>Equally divided among all members having access to lift.</t>
        </is>
      </c>
      <c r="E13" s="66" t="inlineStr">
        <is>
          <t>Model bye-laws provide lift charges equally for all flats, including ground floor flats unless specifically exempted by AGM.</t>
        </is>
      </c>
    </row>
    <row r="14" ht="42" customHeight="1">
      <c r="A14" s="52" t="n">
        <v>9</v>
      </c>
      <c r="B14" s="19" t="inlineStr">
        <is>
          <t>Recovery under Section 101</t>
        </is>
      </c>
      <c r="C14" s="21" t="inlineStr">
        <is>
          <t>MCS Act Section 101</t>
        </is>
      </c>
      <c r="D14" s="68" t="inlineStr">
        <is>
          <t>Recovery certificate from Deputy Registrar for defaulters.</t>
        </is>
      </c>
      <c r="E14" s="66" t="inlineStr">
        <is>
          <t>If dues remain unpaid after 3 consecutive billing notices, the committee can file Section 101 summary recovery application without civil suit.</t>
        </is>
      </c>
    </row>
  </sheetData>
  <mergeCells count="2">
    <mergeCell ref="A2:E2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2026-10-05T06:57:45Z</dcterms:created>
  <dcterms:modified xmlns:dcterms="http://purl.org/dc/terms/" xmlns:xsi="http://www.w3.org/2001/XMLSchema-instance" xsi:type="dcterms:W3CDTF">2026-10-05T06:57:46Z</dcterms:modified>
</cp:coreProperties>
</file>